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9" activeTab="34"/>
  </bookViews>
  <sheets>
    <sheet name="Лист57" sheetId="1" r:id="rId1"/>
    <sheet name="РЖ любители 150 кг." sheetId="2" r:id="rId2"/>
    <sheet name="РЖ любители 125 кг." sheetId="3" r:id="rId3"/>
    <sheet name="РЖ любители 100 кг." sheetId="4" r:id="rId4"/>
    <sheet name="РЖ любители 75 кг." sheetId="5" r:id="rId5"/>
    <sheet name="РЖ любители 55 кг." sheetId="6" r:id="rId6"/>
    <sheet name="РЖ любители 35 кг." sheetId="7" r:id="rId7"/>
    <sheet name="РЖ Проф 150 кг." sheetId="8" r:id="rId8"/>
    <sheet name="РЖ Проф 125 кг." sheetId="9" r:id="rId9"/>
    <sheet name="РЖ Проф 100 кг." sheetId="10" r:id="rId10"/>
    <sheet name="РЖ Проф 75 кг." sheetId="11" r:id="rId11"/>
    <sheet name="21-04-09РЖ Проф 55 кг." sheetId="12" r:id="rId12"/>
    <sheet name="РЖ Проф 55 кг." sheetId="13" r:id="rId13"/>
    <sheet name="Пауэрспорт Профессионалы" sheetId="14" r:id="rId14"/>
    <sheet name="Пауэрспорт Любители" sheetId="15" r:id="rId15"/>
    <sheet name="Бицепс Профессионалы" sheetId="16" r:id="rId16"/>
    <sheet name="Бицепс Любители" sheetId="17" r:id="rId17"/>
    <sheet name="Жим стоя Профессионалы" sheetId="18" r:id="rId18"/>
    <sheet name="Жим стоя Любители" sheetId="19" r:id="rId19"/>
    <sheet name="Проф. народный жим 1_2 вес" sheetId="20" r:id="rId20"/>
    <sheet name="Проф. народный жим 1 вес" sheetId="21" r:id="rId21"/>
    <sheet name="Люб. народный жим 1_2 вес" sheetId="22" r:id="rId22"/>
    <sheet name="Люб. народный жим 1 вес" sheetId="23" r:id="rId23"/>
    <sheet name="ПРО присед софт экип." sheetId="24" r:id="rId24"/>
    <sheet name="Люб. присед софт экип." sheetId="25" r:id="rId25"/>
    <sheet name="ПРО присед б.э." sheetId="26" r:id="rId26"/>
    <sheet name="Люб. присед б.э." sheetId="27" r:id="rId27"/>
    <sheet name="ПРО присед 1.слой" sheetId="28" r:id="rId28"/>
    <sheet name="Люб. присед 1.слой" sheetId="29" r:id="rId29"/>
    <sheet name="ПРО присед мн.слой" sheetId="30" r:id="rId30"/>
    <sheet name="Люб. присед мн.слой" sheetId="31" r:id="rId31"/>
    <sheet name="ПРО тяга софт экип." sheetId="32" r:id="rId32"/>
    <sheet name="Люб. тяга софт экип." sheetId="33" r:id="rId33"/>
    <sheet name="ПРО тяга б.э." sheetId="34" r:id="rId34"/>
    <sheet name="Люб. тяга б.э." sheetId="35" r:id="rId35"/>
    <sheet name="ПРО тяга 1.слой" sheetId="36" r:id="rId36"/>
    <sheet name="Люб. тяга 1.слой" sheetId="37" r:id="rId37"/>
    <sheet name="ПРО тяга мн.слой" sheetId="38" r:id="rId38"/>
    <sheet name="Люб. тяга мн.слой" sheetId="39" r:id="rId39"/>
    <sheet name="ПРО жим софт экип. 3сл." sheetId="40" r:id="rId40"/>
    <sheet name="ПРО жим софт экип." sheetId="41" r:id="rId41"/>
    <sheet name="Люб. жим софт экип." sheetId="42" r:id="rId42"/>
    <sheet name="ПРО жим б.э." sheetId="43" r:id="rId43"/>
    <sheet name="Люб. жим б.э." sheetId="44" r:id="rId44"/>
    <sheet name="ПРО жим 1.слой" sheetId="45" r:id="rId45"/>
    <sheet name="Люб. жим 1.слой" sheetId="46" r:id="rId46"/>
    <sheet name="ПРО жим мн.слой" sheetId="47" r:id="rId47"/>
    <sheet name="Люб. жим мн.слой" sheetId="48" r:id="rId48"/>
    <sheet name="ПРО Военный жим" sheetId="49" r:id="rId49"/>
    <sheet name="Люб. Военный жим" sheetId="50" r:id="rId50"/>
    <sheet name="ПРО ПЛ. софт экип." sheetId="51" r:id="rId51"/>
    <sheet name="Люб. ПЛ. софт экип." sheetId="52" r:id="rId52"/>
    <sheet name="ПРО ПЛ. б.э." sheetId="53" r:id="rId53"/>
    <sheet name="Люб. ПЛ. б.э." sheetId="54" r:id="rId54"/>
    <sheet name="ПРО ПЛ. 1.слой" sheetId="55" r:id="rId55"/>
    <sheet name="Люб. ПЛ. 1.слой" sheetId="56" r:id="rId56"/>
    <sheet name="ПРО ПЛ. мн.слой" sheetId="57" r:id="rId57"/>
    <sheet name="Люб. ПЛ. мн.слой" sheetId="58" r:id="rId58"/>
  </sheets>
  <definedNames/>
  <calcPr fullCalcOnLoad="1"/>
</workbook>
</file>

<file path=xl/sharedStrings.xml><?xml version="1.0" encoding="utf-8"?>
<sst xmlns="http://schemas.openxmlformats.org/spreadsheetml/2006/main" count="2616" uniqueCount="643">
  <si>
    <t>ФИО</t>
  </si>
  <si>
    <t>Возрастная группа
Дата рождения/Возраст</t>
  </si>
  <si>
    <t>Собственный 
Вес</t>
  </si>
  <si>
    <t>Коэф</t>
  </si>
  <si>
    <t>Команда</t>
  </si>
  <si>
    <t>Город/Область</t>
  </si>
  <si>
    <t>Присед</t>
  </si>
  <si>
    <t>Жим</t>
  </si>
  <si>
    <t>Тяга</t>
  </si>
  <si>
    <t>Сумма</t>
  </si>
  <si>
    <t>Очки</t>
  </si>
  <si>
    <t>Тренер</t>
  </si>
  <si>
    <t>Рек</t>
  </si>
  <si>
    <t>Чемпионат Южного федерального округа по РЖ
Русский жим любители 150 кг.
Краснодар/Краснодарский край 20 - 21 октября 2018 г.</t>
  </si>
  <si>
    <t>Жим мн. повт.</t>
  </si>
  <si>
    <t>Тоннаж</t>
  </si>
  <si>
    <t>Вес</t>
  </si>
  <si>
    <t>Повторы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</si>
  <si>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</si>
  <si>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</si>
  <si>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</si>
  <si>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</si>
  <si>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</si>
  <si>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</si>
  <si>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Чемпионат Южного федерального округа по РЖ
Русский жим любители 125 кг.
Краснодар/Краснодарский край 20 - 21 октября 2018 г.</t>
  </si>
  <si>
    <t>Чемпионат Южного федерального округа по РЖ
Русский жим любители 100 кг.
Краснодар/Краснодарский край 20 - 21 октября 2018 г.</t>
  </si>
  <si>
    <t>Чемпионат Южного федерального округа по РЖ
Русский жим любители 75 кг.
Краснодар/Краснодарский край 20 - 21 октября 2018 г.</t>
  </si>
  <si>
    <t>Чемпионат Южного федерального округа по РЖ
Русский жим любители 55 кг.
Краснодар/Краснодарский край 20 - 21 октября 2018 г.</t>
  </si>
  <si>
    <t>Чемпионат Южного федерального округа по РЖ
Русский жим любители 35 кг.
Краснодар/Краснодарский край 20 - 21 октября 2018 г.</t>
  </si>
  <si>
    <t>Чемпионат Южного федерального округа по РЖ
Русский жим профессионалы 150 кг.
Краснодар/Краснодарский край 20 - 21 октября 2018 г.</t>
  </si>
  <si>
    <t>Чемпионат Южного федерального округа по РЖ
Русский жим профессионалы 125 кг.
Краснодар/Краснодарский край 20 - 21 октября 2018 г.</t>
  </si>
  <si>
    <t>Чемпионат Южного федерального округа по РЖ
Русский жим профессионалы 100 кг.
Краснодар/Краснодарский край 20 - 21 октября 2018 г.</t>
  </si>
  <si>
    <t>Чемпионат Южного федерального округа по РЖ
Русский жим профессионалы 75 кг.
Краснодар/Краснодарский край 20 - 21 октября 2018 г.</t>
  </si>
  <si>
    <t>Чемпионат Южного федерального округа по РЖ
Русский жим профессионалы 55 кг.
Краснодар/Краснодарский край 20 - 21 октября 2018 г.</t>
  </si>
  <si>
    <t>Чемпионат Южного федерального округа по РЖ
Русский жим профессионалы 35 кг.
Краснодар/Краснодарский край 20 - 21 октября 2018 г.</t>
  </si>
  <si>
    <t>Чемпионат Южного федерального округа по Пауэрспорту
Пауэрспорт Профессионалы
Краснодар/Краснодарский край 20 - 21 октября 2018 г.</t>
  </si>
  <si>
    <t>Чемпионат Южного федерального округа по Пауэрспорту
Пауэрспорт Любители
Краснодар/Краснодарский край 20 - 21 октября 2018 г.</t>
  </si>
  <si>
    <t>Shv/Mel</t>
  </si>
  <si>
    <t>Жим стоя</t>
  </si>
  <si>
    <t>Подъем на бицепс</t>
  </si>
  <si>
    <t>ВЕСОВАЯ КАТЕГОРИЯ   82.5</t>
  </si>
  <si>
    <t>1. Чабанов Андрей</t>
  </si>
  <si>
    <t>Открытая (17.09.1990)/28</t>
  </si>
  <si>
    <t>81,20</t>
  </si>
  <si>
    <t xml:space="preserve">Лично </t>
  </si>
  <si>
    <t xml:space="preserve">Анапа/Краснодарский край </t>
  </si>
  <si>
    <t>75,0</t>
  </si>
  <si>
    <t>80,0</t>
  </si>
  <si>
    <t>87,5</t>
  </si>
  <si>
    <t>45,0</t>
  </si>
  <si>
    <t>50,0</t>
  </si>
  <si>
    <t>52,5</t>
  </si>
  <si>
    <t xml:space="preserve">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</si>
  <si>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</si>
  <si>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</si>
  <si>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</si>
  <si>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</si>
  <si>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</si>
  <si>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</si>
  <si>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</si>
  <si>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Чабанов Андрей</t>
  </si>
  <si>
    <t>82,5</t>
  </si>
  <si>
    <t>132,5</t>
  </si>
  <si>
    <t>82,9715</t>
  </si>
  <si>
    <t>Чемпионат Южного федерального округа по Пауэрспорту
Одиночный подъём штанги на бицепс Профессионалы
Краснодар/Краснодарский край 20 - 21 октября 2018 г.</t>
  </si>
  <si>
    <t>Результат</t>
  </si>
  <si>
    <t>Чемпионат Южного федерального округа по Пауэрспорту
Одиночный подъём штанги на бицепс Любители
Краснодар/Краснодарский край 20 - 21 октября 2018 г.</t>
  </si>
  <si>
    <t>Чемпионат Южного федерального округа по Пауэрспорту
Одиночный жим штанги стоя Профессионалы
Краснодар/Краснодарский край 20 - 21 октября 2018 г.</t>
  </si>
  <si>
    <t>Чемпионат Южного федерального округа по Пауэрспорту
Одиночный жим штанги стоя Любители
Краснодар/Краснодарский край 20 - 21 октября 2018 г.</t>
  </si>
  <si>
    <t>Чемпионат Южного федерального округа по НЖ
Профессионалы народный жим (1/2 вес)
Краснодар/Краснодарский край 20 - 21 октября 2018 г.</t>
  </si>
  <si>
    <t>Чемпионат Южного федерального округа по НЖ
Профессионалы народный жим (1 вес)
Краснодар/Краснодарский край 20 - 21 октября 2018 г.</t>
  </si>
  <si>
    <t>НАП Н.Ж.</t>
  </si>
  <si>
    <t>ВЕСОВАЯ КАТЕГОРИЯ   100</t>
  </si>
  <si>
    <t>1. Тимошев Николай</t>
  </si>
  <si>
    <t>Открытая (14.10.1990)/28</t>
  </si>
  <si>
    <t>97,30</t>
  </si>
  <si>
    <t xml:space="preserve">Крымск/Краснодарский край </t>
  </si>
  <si>
    <t>97,5n</t>
  </si>
  <si>
    <t>29,0</t>
  </si>
  <si>
    <t>1. Захаров Владимир</t>
  </si>
  <si>
    <t>Мастера 60 - 64 (07.07.1955)/63</t>
  </si>
  <si>
    <t>99,50</t>
  </si>
  <si>
    <t xml:space="preserve">энерджи новороссийск </t>
  </si>
  <si>
    <t xml:space="preserve">Новороссийск/Краснодарский край </t>
  </si>
  <si>
    <t>100,0</t>
  </si>
  <si>
    <t>23,0</t>
  </si>
  <si>
    <t xml:space="preserve">НАП Н.Ж. </t>
  </si>
  <si>
    <t>Тимошев Николай</t>
  </si>
  <si>
    <t>2827,5</t>
  </si>
  <si>
    <t>1923,2654</t>
  </si>
  <si>
    <t xml:space="preserve">Мастера </t>
  </si>
  <si>
    <t>Захаров Владимир</t>
  </si>
  <si>
    <t xml:space="preserve">Мастера 60 - 64 </t>
  </si>
  <si>
    <t>2300,0</t>
  </si>
  <si>
    <t>1529,7300</t>
  </si>
  <si>
    <t>Чемпионат Южного федерального округа по НЖ
Любители народный жим (1/2 вес)
Краснодар/Краснодарский край 20 - 21 октября 2018 г.</t>
  </si>
  <si>
    <t>Чемпионат Южного федерального округа по НЖ
Любители народный жим (1 вес)
Краснодар/Краснодарский край 20 - 21 октября 2018 г.</t>
  </si>
  <si>
    <t>ВЕСОВАЯ КАТЕГОРИЯ   90</t>
  </si>
  <si>
    <t>1. Клименко Сергей</t>
  </si>
  <si>
    <t>Открытая (01.09.1989)/29</t>
  </si>
  <si>
    <t>89,70</t>
  </si>
  <si>
    <t xml:space="preserve">дом физкультурника </t>
  </si>
  <si>
    <t xml:space="preserve">Краснодар/Краснодарский край </t>
  </si>
  <si>
    <t>90,0</t>
  </si>
  <si>
    <t>31,0</t>
  </si>
  <si>
    <t>ВЕСОВАЯ КАТЕГОРИЯ   110</t>
  </si>
  <si>
    <t>1. Ерошкин Игорь</t>
  </si>
  <si>
    <t>Мастера 50 - 54 (14.12.1965)/52</t>
  </si>
  <si>
    <t>108,80</t>
  </si>
  <si>
    <t xml:space="preserve">Сочи/Краснодарский край </t>
  </si>
  <si>
    <t>110,0n</t>
  </si>
  <si>
    <t>18,0</t>
  </si>
  <si>
    <t>Клименко Сергей</t>
  </si>
  <si>
    <t>2790,0</t>
  </si>
  <si>
    <t>1997,9189</t>
  </si>
  <si>
    <t>Ерошкин Игорь</t>
  </si>
  <si>
    <t xml:space="preserve">Мастера 50 - 54 </t>
  </si>
  <si>
    <t>110,0</t>
  </si>
  <si>
    <t>1980,0</t>
  </si>
  <si>
    <t>1282,0500</t>
  </si>
  <si>
    <t>Чемпионат Южного федерального округа по пауэрлифтингу и силовым видам спорта
ПРО присед в софт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</si>
  <si>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Любители присед в софт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</si>
  <si>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ПРО присед без экипировки
Краснодар/Краснодарский край 20 - 21 октября 2018 г.</t>
  </si>
  <si>
    <t>Приседание</t>
  </si>
  <si>
    <t>ВЕСОВАЯ КАТЕГОРИЯ   52</t>
  </si>
  <si>
    <t>1. Вьюхина Надежда</t>
  </si>
  <si>
    <t>Открытая (17.03.1985)/33</t>
  </si>
  <si>
    <t>52,00</t>
  </si>
  <si>
    <t>77,5</t>
  </si>
  <si>
    <t>82,5n</t>
  </si>
  <si>
    <t>ВЕСОВАЯ КАТЕГОРИЯ   125</t>
  </si>
  <si>
    <t>1. Шавоев Яшар</t>
  </si>
  <si>
    <t>Открытая (02.10.1986)/32</t>
  </si>
  <si>
    <t>118,00</t>
  </si>
  <si>
    <t xml:space="preserve">Фитнес стар </t>
  </si>
  <si>
    <t xml:space="preserve">Майкоп </t>
  </si>
  <si>
    <t>290,0</t>
  </si>
  <si>
    <t>310,0</t>
  </si>
  <si>
    <t>320,0</t>
  </si>
  <si>
    <t xml:space="preserve">Женщины </t>
  </si>
  <si>
    <t>Вьюхина Надежда</t>
  </si>
  <si>
    <t>52,0</t>
  </si>
  <si>
    <t>84,8181</t>
  </si>
  <si>
    <t>Шавоев Яшар</t>
  </si>
  <si>
    <t>125,0</t>
  </si>
  <si>
    <t>163,9280</t>
  </si>
  <si>
    <t>Чемпионат Южного федерального округа по пауэрлифтингу и силовым видам спорта
Любители присед без экипировки
Краснодар/Краснодарский край 20 - 21 октября 2018 г.</t>
  </si>
  <si>
    <t>Чемпионат Южного федерального округа по пауэрлифтингу и силовым видам спорта
ПРО присед в однослойной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</si>
  <si>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Любители присед в однослойной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</si>
  <si>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ПРО присед в многослойной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</si>
  <si>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Любители присед в многослойной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</si>
  <si>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ПРО становая тяга в софт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</si>
  <si>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Любители становая тяга в софт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</si>
  <si>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ПРО становая тяга без экипировки
Краснодар/Краснодарский край 20 - 21 октября 2018 г.</t>
  </si>
  <si>
    <t>Становая тяга</t>
  </si>
  <si>
    <t>1. Ухоботов Владимир</t>
  </si>
  <si>
    <t>Мастера 40 - 44 (18.06.1978)/40</t>
  </si>
  <si>
    <t>99,10</t>
  </si>
  <si>
    <t>235,0n</t>
  </si>
  <si>
    <t>250,0n</t>
  </si>
  <si>
    <t>280,0</t>
  </si>
  <si>
    <t>300,0</t>
  </si>
  <si>
    <t>158,6400</t>
  </si>
  <si>
    <t>Ухоботов Владимир</t>
  </si>
  <si>
    <t xml:space="preserve">Мастера 40 - 44 </t>
  </si>
  <si>
    <t>250,0</t>
  </si>
  <si>
    <t>139,0750</t>
  </si>
  <si>
    <t>Чемпионат Южного федерального округа по пауэрлифтингу и силовым видам спорта
Любители становая тяга без экипировки
Краснодар/Краснодарский край 20 - 21 октября 2018 г.</t>
  </si>
  <si>
    <t>1. Семенякина Юлия</t>
  </si>
  <si>
    <t>Юниорки 20 - 23 (29.08.1995)/23</t>
  </si>
  <si>
    <t>51,90</t>
  </si>
  <si>
    <t xml:space="preserve">Light Fit </t>
  </si>
  <si>
    <t>1. Хабаров Владислав</t>
  </si>
  <si>
    <t>Юниоры 20 - 23 (30.07.1998)/20</t>
  </si>
  <si>
    <t>81,30</t>
  </si>
  <si>
    <t xml:space="preserve">Симферополь/Крым </t>
  </si>
  <si>
    <t>210,0</t>
  </si>
  <si>
    <t>217,5</t>
  </si>
  <si>
    <t>220,0</t>
  </si>
  <si>
    <t>1. Третьяков Игорь</t>
  </si>
  <si>
    <t>Мастера 55 - 59 (14.07.1962)/56</t>
  </si>
  <si>
    <t>87,00</t>
  </si>
  <si>
    <t>130,0n</t>
  </si>
  <si>
    <t>135,0n</t>
  </si>
  <si>
    <t>140,0n</t>
  </si>
  <si>
    <t>1. Щербаченко Олег</t>
  </si>
  <si>
    <t>Открытая (25.02.1990)/28</t>
  </si>
  <si>
    <t>108,20</t>
  </si>
  <si>
    <t xml:space="preserve">Новочеркасск/Ростовская область </t>
  </si>
  <si>
    <t>240,0</t>
  </si>
  <si>
    <t>255,0</t>
  </si>
  <si>
    <t>262,5</t>
  </si>
  <si>
    <t xml:space="preserve">Юниорки </t>
  </si>
  <si>
    <t>Семенякина Юлия</t>
  </si>
  <si>
    <t xml:space="preserve">Юниоры 20 - 23 </t>
  </si>
  <si>
    <t>97,0850</t>
  </si>
  <si>
    <t xml:space="preserve">Юниоры </t>
  </si>
  <si>
    <t>Хабаров Владислав</t>
  </si>
  <si>
    <t>140,1724</t>
  </si>
  <si>
    <t>Щербаченко Олег</t>
  </si>
  <si>
    <t>137,3940</t>
  </si>
  <si>
    <t>Третьяков Игорь</t>
  </si>
  <si>
    <t xml:space="preserve">Мастера 55 - 59 </t>
  </si>
  <si>
    <t>140,0</t>
  </si>
  <si>
    <t>119,6796</t>
  </si>
  <si>
    <t>Чемпионат Южного федерального округа по пауэрлифтингу и силовым видам спорта
ПРО становая тяга в однослойной экипировке
Краснодар/Краснодарский край 20 - 21 октября 2018 г.</t>
  </si>
  <si>
    <t>1. Банман Виктор</t>
  </si>
  <si>
    <t>Мастера 60 - 64 (18.01.1957)/61</t>
  </si>
  <si>
    <t>81,90</t>
  </si>
  <si>
    <t xml:space="preserve">Russia </t>
  </si>
  <si>
    <t xml:space="preserve">Горячий Ключ </t>
  </si>
  <si>
    <t>160,0</t>
  </si>
  <si>
    <t>180,0n</t>
  </si>
  <si>
    <t>185,0n</t>
  </si>
  <si>
    <t xml:space="preserve">кондратьев </t>
  </si>
  <si>
    <t>Банман Виктор</t>
  </si>
  <si>
    <t>185,0</t>
  </si>
  <si>
    <t>195,7448</t>
  </si>
  <si>
    <t>Чемпионат Южного федерального округа по пауэрлифтингу и силовым видам спорта
Любители становая тяга в однослойной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</si>
  <si>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ПРО становая тяга в многослойной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</si>
  <si>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Любители становая тяга в многослойной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</si>
  <si>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ПРО жим лежа в софт экипировке3сл.
Краснодар/Краснодарский край 20 - 21 октября 2018 г.</t>
  </si>
  <si>
    <t>Жим лёжа</t>
  </si>
  <si>
    <t>1. Сорокотягин Виталий</t>
  </si>
  <si>
    <t>Открытая (28.05.1981)/37</t>
  </si>
  <si>
    <t>117,00</t>
  </si>
  <si>
    <t xml:space="preserve">центр тяжести </t>
  </si>
  <si>
    <t xml:space="preserve">Славянск-на-Кубани/Краснодарский край </t>
  </si>
  <si>
    <t>340,0</t>
  </si>
  <si>
    <t>350,0</t>
  </si>
  <si>
    <t>ВЕСОВАЯ КАТЕГОРИЯ   140+</t>
  </si>
  <si>
    <t>1. Баллод Александр</t>
  </si>
  <si>
    <t>Открытая (17.08.1979)/39</t>
  </si>
  <si>
    <t>149,00</t>
  </si>
  <si>
    <t xml:space="preserve">Краснодар </t>
  </si>
  <si>
    <t>370,0</t>
  </si>
  <si>
    <t xml:space="preserve">Серош А </t>
  </si>
  <si>
    <t>Сорокотягин Виталий</t>
  </si>
  <si>
    <t>185,3600</t>
  </si>
  <si>
    <t>Баллод Александр</t>
  </si>
  <si>
    <t>140+</t>
  </si>
  <si>
    <t>172,9000</t>
  </si>
  <si>
    <t>Чемпионат Южного федерального округа по пауэрлифтингу и силовым видам спорта
ПРО жим лежа в софт экипировке
Краснодар/Краснодарский край 20 - 21 октября 2018 г.</t>
  </si>
  <si>
    <t>1. Ремнев Василий</t>
  </si>
  <si>
    <t>Открытая (19.09.1978)/40</t>
  </si>
  <si>
    <t>120,90</t>
  </si>
  <si>
    <t>230,0n</t>
  </si>
  <si>
    <t>Ремнев Василий</t>
  </si>
  <si>
    <t>230,0</t>
  </si>
  <si>
    <t>121,0030</t>
  </si>
  <si>
    <t>Чемпионат Южного федерального округа по пауэрлифтингу и силовым видам спорта
Любители жим лежа в софт экипировке
Краснодар/Краснодарский край 20 - 21 октября 2018 г.</t>
  </si>
  <si>
    <t>ВЕСОВАЯ КАТЕГОРИЯ   75</t>
  </si>
  <si>
    <t>1. Космынин Владимир</t>
  </si>
  <si>
    <t>Мастера 55 - 59 (12.06.1960)/58</t>
  </si>
  <si>
    <t>71,60</t>
  </si>
  <si>
    <t xml:space="preserve">SPORT LIFE </t>
  </si>
  <si>
    <t xml:space="preserve">Кропоткин </t>
  </si>
  <si>
    <t>150,0</t>
  </si>
  <si>
    <t>162,5</t>
  </si>
  <si>
    <t xml:space="preserve">самостоятельно </t>
  </si>
  <si>
    <t>1. Ванян Владимир</t>
  </si>
  <si>
    <t>Открытая (14.10.1989)/29</t>
  </si>
  <si>
    <t>99,90</t>
  </si>
  <si>
    <t xml:space="preserve">Ст.тбилисская </t>
  </si>
  <si>
    <t>325,0</t>
  </si>
  <si>
    <t>335,0</t>
  </si>
  <si>
    <t xml:space="preserve">Тренируюсь самостоятельно </t>
  </si>
  <si>
    <t>2. Щеколкин Антон</t>
  </si>
  <si>
    <t>Открытая (26.05.1995)/23</t>
  </si>
  <si>
    <t>97,10</t>
  </si>
  <si>
    <t xml:space="preserve">ДГТУ </t>
  </si>
  <si>
    <t xml:space="preserve">Ростов-на-Дону/Ростовская область </t>
  </si>
  <si>
    <t>275,0</t>
  </si>
  <si>
    <t>Ванян Владимир</t>
  </si>
  <si>
    <t>180,1475</t>
  </si>
  <si>
    <t>Щеколкин Антон</t>
  </si>
  <si>
    <t>154,4400</t>
  </si>
  <si>
    <t>Космынин Владимир</t>
  </si>
  <si>
    <t>172,0620</t>
  </si>
  <si>
    <t>Чемпионат Южного федерального округа по пауэрлифтингу и силовым видам спорта
ПРО жим лежа без экипировки
Краснодар/Краснодарский край 20 - 21 октября 2018 г.</t>
  </si>
  <si>
    <t>1. Насонов Роман</t>
  </si>
  <si>
    <t>Открытая (10.12.1990)/27</t>
  </si>
  <si>
    <t>90,00</t>
  </si>
  <si>
    <t xml:space="preserve">Планета Железяка </t>
  </si>
  <si>
    <t>177,5</t>
  </si>
  <si>
    <t>182,5</t>
  </si>
  <si>
    <t>2. Ли Тимур</t>
  </si>
  <si>
    <t>Открытая (21.07.1986)/32</t>
  </si>
  <si>
    <t>87,50</t>
  </si>
  <si>
    <t>120,0</t>
  </si>
  <si>
    <t>1. Коротченко Евгений</t>
  </si>
  <si>
    <t>Юниоры 20 - 23 (03.04.1996)/22</t>
  </si>
  <si>
    <t>93,00</t>
  </si>
  <si>
    <t>200,0</t>
  </si>
  <si>
    <t>200,0n</t>
  </si>
  <si>
    <t>207,5</t>
  </si>
  <si>
    <t>2. Бондаренко Иван</t>
  </si>
  <si>
    <t>Открытая (14.11.1986)/31</t>
  </si>
  <si>
    <t>97,80</t>
  </si>
  <si>
    <t>167,5</t>
  </si>
  <si>
    <t>135,0</t>
  </si>
  <si>
    <t>180,0</t>
  </si>
  <si>
    <t>190,0</t>
  </si>
  <si>
    <t>1. Казьмин Евгений</t>
  </si>
  <si>
    <t>Открытая (01.11.1986)/31</t>
  </si>
  <si>
    <t>110,00</t>
  </si>
  <si>
    <t>175,0</t>
  </si>
  <si>
    <t>1. Морозов Алексей</t>
  </si>
  <si>
    <t>Открытая (11.04.1979)/39</t>
  </si>
  <si>
    <t>121,30</t>
  </si>
  <si>
    <t>205,0</t>
  </si>
  <si>
    <t>205,0n</t>
  </si>
  <si>
    <t>2. Трухляк Руслан</t>
  </si>
  <si>
    <t>Открытая (08.07.1991)/27</t>
  </si>
  <si>
    <t>123,00</t>
  </si>
  <si>
    <t>195,0</t>
  </si>
  <si>
    <t>3. Ремнев Василий</t>
  </si>
  <si>
    <t>Коротченко Евгений</t>
  </si>
  <si>
    <t>81,2202</t>
  </si>
  <si>
    <t>112,2000</t>
  </si>
  <si>
    <t>Морозов Алексей</t>
  </si>
  <si>
    <t>107,7685</t>
  </si>
  <si>
    <t>Казьмин Евгений</t>
  </si>
  <si>
    <t>107,3000</t>
  </si>
  <si>
    <t>Насонов Роман</t>
  </si>
  <si>
    <t>106,8173</t>
  </si>
  <si>
    <t>Трухляк Руслан</t>
  </si>
  <si>
    <t>102,1215</t>
  </si>
  <si>
    <t>99,9590</t>
  </si>
  <si>
    <t>Бондаренко Иван</t>
  </si>
  <si>
    <t>89,5520</t>
  </si>
  <si>
    <t>Ли Тимур</t>
  </si>
  <si>
    <t>65,5160</t>
  </si>
  <si>
    <t>190,9677</t>
  </si>
  <si>
    <t>89,0080</t>
  </si>
  <si>
    <t>Чемпионат Южного федерального округа по пауэрлифтингу и силовым видам спорта
Любители жим лежа без экипировки
Краснодар/Краснодарский край 20 - 21 октября 2018 г.</t>
  </si>
  <si>
    <t>ВЕСОВАЯ КАТЕГОРИЯ   60</t>
  </si>
  <si>
    <t>1. Гальчева Мария</t>
  </si>
  <si>
    <t>Юниорки 20 - 23 (22.08.1997)/21</t>
  </si>
  <si>
    <t>60,00</t>
  </si>
  <si>
    <t xml:space="preserve">Ессентуки/Ставропольский край </t>
  </si>
  <si>
    <t>65,0</t>
  </si>
  <si>
    <t>65,0n</t>
  </si>
  <si>
    <t>70,0</t>
  </si>
  <si>
    <t>Открытая (22.08.1997)/21</t>
  </si>
  <si>
    <t>2. Пшиченко Татьяна</t>
  </si>
  <si>
    <t>Открытая (20.10.1985)/33</t>
  </si>
  <si>
    <t>58,70</t>
  </si>
  <si>
    <t xml:space="preserve">GELENDGYM </t>
  </si>
  <si>
    <t xml:space="preserve">Геленджик/Краснодарский край </t>
  </si>
  <si>
    <t xml:space="preserve">Лянгузов </t>
  </si>
  <si>
    <t>ВЕСОВАЯ КАТЕГОРИЯ   67.5</t>
  </si>
  <si>
    <t>1. Лукьянова Екатерина</t>
  </si>
  <si>
    <t>Открытая (13.03.1987)/31</t>
  </si>
  <si>
    <t>64,10</t>
  </si>
  <si>
    <t>37,5</t>
  </si>
  <si>
    <t>42,5</t>
  </si>
  <si>
    <t>1. Руденко Елена</t>
  </si>
  <si>
    <t>Мастера 45 - 49 (19.05.1970)/48</t>
  </si>
  <si>
    <t>78,80</t>
  </si>
  <si>
    <t xml:space="preserve">спорт лайф гулькевичи </t>
  </si>
  <si>
    <t xml:space="preserve">Гулькевичи/Краснодарский край </t>
  </si>
  <si>
    <t>1. Ананьев Руслан</t>
  </si>
  <si>
    <t>Юноши 16 - 17 (19.02.2001)/17</t>
  </si>
  <si>
    <t>67,50</t>
  </si>
  <si>
    <t>75,0n</t>
  </si>
  <si>
    <t>80,0n</t>
  </si>
  <si>
    <t>90,0n</t>
  </si>
  <si>
    <t>-. Абрамов Владимир</t>
  </si>
  <si>
    <t>Открытая (25.03.1991)/27</t>
  </si>
  <si>
    <t>66,00</t>
  </si>
  <si>
    <t>1. Гусаков Виталий</t>
  </si>
  <si>
    <t>Юноши 18 - 19 (14.11.1999)/18</t>
  </si>
  <si>
    <t>73,50</t>
  </si>
  <si>
    <t xml:space="preserve">Солнышко </t>
  </si>
  <si>
    <t xml:space="preserve">Темрюк/Краснодарский край </t>
  </si>
  <si>
    <t>137,5</t>
  </si>
  <si>
    <t>2. Антипин Павел</t>
  </si>
  <si>
    <t>Юноши 18 - 19 (05.07.1999)/19</t>
  </si>
  <si>
    <t>73,00</t>
  </si>
  <si>
    <t>122,5</t>
  </si>
  <si>
    <t>Открытая (14.11.1999)/18</t>
  </si>
  <si>
    <t>1. Дворкин Леонид</t>
  </si>
  <si>
    <t>Мастера 75 - 79 (23.01.1941)/77</t>
  </si>
  <si>
    <t>74,90</t>
  </si>
  <si>
    <t>97,5</t>
  </si>
  <si>
    <t>105,0</t>
  </si>
  <si>
    <t>145,0</t>
  </si>
  <si>
    <t>147,5</t>
  </si>
  <si>
    <t>2. Лянгузов Дмитрий</t>
  </si>
  <si>
    <t>Открытая (15.11.1988)/29</t>
  </si>
  <si>
    <t xml:space="preserve">Геленджик </t>
  </si>
  <si>
    <t>3. Цамалаидзе Валерий</t>
  </si>
  <si>
    <t>Открытая (09.07.1992)/26</t>
  </si>
  <si>
    <t>79,90</t>
  </si>
  <si>
    <t>127,5</t>
  </si>
  <si>
    <t>1. Луценко Александр</t>
  </si>
  <si>
    <t>Юноши 16 - 17 (28.02.2002)/16</t>
  </si>
  <si>
    <t>87,70</t>
  </si>
  <si>
    <t>72,5n</t>
  </si>
  <si>
    <t>2. Спиваков Евгений</t>
  </si>
  <si>
    <t>Открытая (19.11.1982)/35</t>
  </si>
  <si>
    <t>89,40</t>
  </si>
  <si>
    <t>155,0n</t>
  </si>
  <si>
    <t>162,5n</t>
  </si>
  <si>
    <t>3. Шаламай Игорь</t>
  </si>
  <si>
    <t>Открытая (23.08.1989)/29</t>
  </si>
  <si>
    <t>88,40</t>
  </si>
  <si>
    <t>155,0</t>
  </si>
  <si>
    <t>157,5</t>
  </si>
  <si>
    <t>4. Мусаилов Альберт</t>
  </si>
  <si>
    <t>Открытая (09.08.1988)/30</t>
  </si>
  <si>
    <t>89,80</t>
  </si>
  <si>
    <t xml:space="preserve">Туапсе/Краснодарский край </t>
  </si>
  <si>
    <t>1. Сидоров Матвей</t>
  </si>
  <si>
    <t>Юноши 16 - 17 (17.04.2001)/17</t>
  </si>
  <si>
    <t>97,00</t>
  </si>
  <si>
    <t>1. Петренко Эдуард</t>
  </si>
  <si>
    <t>Открытая (14.04.1992)/26</t>
  </si>
  <si>
    <t>98,20</t>
  </si>
  <si>
    <t>152,5</t>
  </si>
  <si>
    <t xml:space="preserve">Захаров В </t>
  </si>
  <si>
    <t>1. Хитарян Рустам</t>
  </si>
  <si>
    <t>Мастера 40 - 44 (26.09.1975)/43</t>
  </si>
  <si>
    <t>99,40</t>
  </si>
  <si>
    <t xml:space="preserve">Кропоткин/Краснодарский край </t>
  </si>
  <si>
    <t>1. Безвербный Алексей</t>
  </si>
  <si>
    <t>Мастера 45 - 49 (18.03.1973)/45</t>
  </si>
  <si>
    <t>95,00</t>
  </si>
  <si>
    <t>165,0</t>
  </si>
  <si>
    <t>1. Филипенко Александр</t>
  </si>
  <si>
    <t>Открытая (07.08.1982)/36</t>
  </si>
  <si>
    <t>108,90</t>
  </si>
  <si>
    <t>172,5</t>
  </si>
  <si>
    <t>177,5n</t>
  </si>
  <si>
    <t>1. Брянцев Николай</t>
  </si>
  <si>
    <t>Мастера 40 - 44 (29.06.1978)/40</t>
  </si>
  <si>
    <t>106,10</t>
  </si>
  <si>
    <t>150,0n</t>
  </si>
  <si>
    <t>170,0n</t>
  </si>
  <si>
    <t>2. Дискант Валерий</t>
  </si>
  <si>
    <t>Мастера 50 - 54 (14.07.1965)/53</t>
  </si>
  <si>
    <t>109,70</t>
  </si>
  <si>
    <t>142,5</t>
  </si>
  <si>
    <t>1. Селезнев Владимир</t>
  </si>
  <si>
    <t>Открытая (09.05.1977)/41</t>
  </si>
  <si>
    <t>121,70</t>
  </si>
  <si>
    <t xml:space="preserve">Москва </t>
  </si>
  <si>
    <t>2. Барилко Алексей</t>
  </si>
  <si>
    <t>Открытая (06.09.1979)/39</t>
  </si>
  <si>
    <t>121,80</t>
  </si>
  <si>
    <t xml:space="preserve">Сизов А. В. </t>
  </si>
  <si>
    <t>Мастера 40 - 44 (09.05.1977)/41</t>
  </si>
  <si>
    <t>175,0n</t>
  </si>
  <si>
    <t>Гальчева Мария</t>
  </si>
  <si>
    <t>60,0</t>
  </si>
  <si>
    <t>57,0777</t>
  </si>
  <si>
    <t>55,9585</t>
  </si>
  <si>
    <t>Пшиченко Татьяна</t>
  </si>
  <si>
    <t>43,8450</t>
  </si>
  <si>
    <t>Лукьянова Екатерина</t>
  </si>
  <si>
    <t>67,5</t>
  </si>
  <si>
    <t>34,6056</t>
  </si>
  <si>
    <t>Руденко Елена</t>
  </si>
  <si>
    <t xml:space="preserve">Мастера 45 - 49 </t>
  </si>
  <si>
    <t>62,2392</t>
  </si>
  <si>
    <t xml:space="preserve">Юноши </t>
  </si>
  <si>
    <t>Гусаков Виталий</t>
  </si>
  <si>
    <t xml:space="preserve">Юноши 18 - 19 </t>
  </si>
  <si>
    <t>94,8318</t>
  </si>
  <si>
    <t>Сидоров Матвей</t>
  </si>
  <si>
    <t xml:space="preserve">Юноши 16 - 17 </t>
  </si>
  <si>
    <t>94,0621</t>
  </si>
  <si>
    <t>Антипин Павел</t>
  </si>
  <si>
    <t>84,7267</t>
  </si>
  <si>
    <t>Ананьев Руслан</t>
  </si>
  <si>
    <t>70,5478</t>
  </si>
  <si>
    <t>Луценко Александр</t>
  </si>
  <si>
    <t>53,7609</t>
  </si>
  <si>
    <t>107,0362</t>
  </si>
  <si>
    <t>Спиваков Евгений</t>
  </si>
  <si>
    <t>95,5013</t>
  </si>
  <si>
    <t>Филипенко Александр</t>
  </si>
  <si>
    <t>95,4595</t>
  </si>
  <si>
    <t>Селезнев Владимир</t>
  </si>
  <si>
    <t>94,5540</t>
  </si>
  <si>
    <t>Шаламай Игорь</t>
  </si>
  <si>
    <t>93,2085</t>
  </si>
  <si>
    <t>92,3645</t>
  </si>
  <si>
    <t>Мусаилов Альберт</t>
  </si>
  <si>
    <t>90,8455</t>
  </si>
  <si>
    <t>Лянгузов Дмитрий</t>
  </si>
  <si>
    <t>90,7990</t>
  </si>
  <si>
    <t>Петренко Эдуард</t>
  </si>
  <si>
    <t>90,7725</t>
  </si>
  <si>
    <t>89,4640</t>
  </si>
  <si>
    <t>Барилко Алексей</t>
  </si>
  <si>
    <t>84,0160</t>
  </si>
  <si>
    <t>Цамалаидзе Валерий</t>
  </si>
  <si>
    <t>79,1875</t>
  </si>
  <si>
    <t>Дворкин Леонид</t>
  </si>
  <si>
    <t xml:space="preserve">Мастера 75 - 79 </t>
  </si>
  <si>
    <t>145,6289</t>
  </si>
  <si>
    <t>170,0</t>
  </si>
  <si>
    <t>110,5751</t>
  </si>
  <si>
    <t>Дискант Валерий</t>
  </si>
  <si>
    <t>101,4270</t>
  </si>
  <si>
    <t>Безвербный Алексей</t>
  </si>
  <si>
    <t>98,1840</t>
  </si>
  <si>
    <t>94,8377</t>
  </si>
  <si>
    <t>Хитарян Рустам</t>
  </si>
  <si>
    <t>87,6523</t>
  </si>
  <si>
    <t>Брянцев Николай</t>
  </si>
  <si>
    <t>83,9945</t>
  </si>
  <si>
    <t>Чемпионат Южного федерального округа по пауэрлифтингу и силовым видам спорта
ПРО жим лежа в однослойной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</si>
  <si>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Любители жим лежа в однослойной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</si>
  <si>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ПРО жим лежа в многослойной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</si>
  <si>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Любители жим лежа в многослойной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</si>
  <si>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ПРО военный жим
Краснодар/Краснодарский край 20 - 21 октября 2018 г.</t>
  </si>
  <si>
    <t>Чемпионат Южного федерального округа по пауэрлифтингу и силовым видам спорта
Любители военный жим
Краснодар/Краснодарский край 20 - 21 октября 2018 г.</t>
  </si>
  <si>
    <t>1. Дискант Валерий</t>
  </si>
  <si>
    <t>145,0n</t>
  </si>
  <si>
    <t>1. Гаврилов Вадим</t>
  </si>
  <si>
    <t>Мастера 40 - 44 (25.12.1973)/44</t>
  </si>
  <si>
    <t>124,90</t>
  </si>
  <si>
    <t>190,0n</t>
  </si>
  <si>
    <t>2. Петриченко Александр</t>
  </si>
  <si>
    <t>Мастера 40 - 44 (19.02.1976)/42</t>
  </si>
  <si>
    <t>115,00</t>
  </si>
  <si>
    <t>Гаврилов Вадим</t>
  </si>
  <si>
    <t>102,0783</t>
  </si>
  <si>
    <t>99,7079</t>
  </si>
  <si>
    <t>Петриченко Александр</t>
  </si>
  <si>
    <t>88,4701</t>
  </si>
  <si>
    <t>Чемпионат Южного федерального округа по пауэрлифтингу и силовым видам спорта
ПРО пауэрлифтинг в софт экипировке
Краснодар/Краснодарский край 20 - 21 октября 2018 г.</t>
  </si>
  <si>
    <t>1. Бойцевский Дмитрий</t>
  </si>
  <si>
    <t>Юноши 14 - 15 (16.06.2003)/15</t>
  </si>
  <si>
    <t>1. Бойцевский Александр</t>
  </si>
  <si>
    <t>Открытая (30.05.1987)/31</t>
  </si>
  <si>
    <t>104,80</t>
  </si>
  <si>
    <t>270,0</t>
  </si>
  <si>
    <t>Бойцевский Дмитрий</t>
  </si>
  <si>
    <t xml:space="preserve">Юноши 14 - 15 </t>
  </si>
  <si>
    <t>490,0</t>
  </si>
  <si>
    <t>332,1181</t>
  </si>
  <si>
    <t>Бойцевский Александр</t>
  </si>
  <si>
    <t>720,0</t>
  </si>
  <si>
    <t>391,7520</t>
  </si>
  <si>
    <t>Чемпионат Южного федерального округа по пауэрлифтингу и силовым видам спорта
Любители пауэрлифтинг в софт экипировке
Краснодар/Краснодарский край 20 - 21 октября 2018 г.</t>
  </si>
  <si>
    <t>1. Малахова Юлия</t>
  </si>
  <si>
    <t>Мастера 40 - 44 (11.12.1974)/43</t>
  </si>
  <si>
    <t>64,00</t>
  </si>
  <si>
    <t>55,0n</t>
  </si>
  <si>
    <t>60,0n</t>
  </si>
  <si>
    <t>62,5</t>
  </si>
  <si>
    <t>95,0n</t>
  </si>
  <si>
    <t>100,0n</t>
  </si>
  <si>
    <t>1. Мацегоров Евгений</t>
  </si>
  <si>
    <t>Открытая (06.05.1986)/32</t>
  </si>
  <si>
    <t xml:space="preserve">Олимпия </t>
  </si>
  <si>
    <t xml:space="preserve">Туапсе </t>
  </si>
  <si>
    <t>260,0</t>
  </si>
  <si>
    <t>215,0</t>
  </si>
  <si>
    <t>235,0</t>
  </si>
  <si>
    <t>Малахова Юлия</t>
  </si>
  <si>
    <t>207,5066</t>
  </si>
  <si>
    <t>Мацегоров Евгений</t>
  </si>
  <si>
    <t>715,0</t>
  </si>
  <si>
    <t>418,4895</t>
  </si>
  <si>
    <t>Чемпионат Южного федерального округа по пауэрлифтингу и силовым видам спорта
ПРО пауэрлифтинг без экипировки
Краснодар/Краснодарский край 20 - 21 октября 2018 г.</t>
  </si>
  <si>
    <t>1. Карпенко Владислав</t>
  </si>
  <si>
    <t>Открытая (02.11.1987)/30</t>
  </si>
  <si>
    <t>100,00</t>
  </si>
  <si>
    <t xml:space="preserve">мегафит </t>
  </si>
  <si>
    <t>192,5</t>
  </si>
  <si>
    <t xml:space="preserve">Виталий волков </t>
  </si>
  <si>
    <t>790,0</t>
  </si>
  <si>
    <t>417,7520</t>
  </si>
  <si>
    <t>Карпенко Владислав</t>
  </si>
  <si>
    <t>730,0</t>
  </si>
  <si>
    <t>404,4200</t>
  </si>
  <si>
    <t>Чемпионат Южного федерального округа по пауэрлифтингу и силовым видам спорта
Любители пауэрлифтинг без экипировки
Краснодар/Краснодарский край 20 - 21 октября 2018 г.</t>
  </si>
  <si>
    <t>1. Шибаева Ольга</t>
  </si>
  <si>
    <t>Открытая (11.06.1976)/42</t>
  </si>
  <si>
    <t>71,80</t>
  </si>
  <si>
    <t>57,5</t>
  </si>
  <si>
    <t>117,5</t>
  </si>
  <si>
    <t>2. Ботнарюк Виталина</t>
  </si>
  <si>
    <t>Открытая (21.07.1990)/28</t>
  </si>
  <si>
    <t>85,0n</t>
  </si>
  <si>
    <t>95,0</t>
  </si>
  <si>
    <t>50,0n</t>
  </si>
  <si>
    <t>52,5n</t>
  </si>
  <si>
    <t>120,0n</t>
  </si>
  <si>
    <t>130,0</t>
  </si>
  <si>
    <t>1. Обухов Дмитрий</t>
  </si>
  <si>
    <t>Юноши 16 - 17 (29.11.2000)/17</t>
  </si>
  <si>
    <t>69,10</t>
  </si>
  <si>
    <t>115,0</t>
  </si>
  <si>
    <t>1. Кармирьян Михаил</t>
  </si>
  <si>
    <t>Открытая (09.08.1982)/36</t>
  </si>
  <si>
    <t>1. Антоненко Валерий</t>
  </si>
  <si>
    <t>Открытая (06.01.1987)/31</t>
  </si>
  <si>
    <t>99,60</t>
  </si>
  <si>
    <t>2. Задорожний Дмитрий</t>
  </si>
  <si>
    <t>Открытая (18.12.1979)/38</t>
  </si>
  <si>
    <t>98,60</t>
  </si>
  <si>
    <t>187,5</t>
  </si>
  <si>
    <t>1. Сарьян Арсен</t>
  </si>
  <si>
    <t>Мастера 40 - 44 (11.04.1978)/40</t>
  </si>
  <si>
    <t>Шибаева Ольга</t>
  </si>
  <si>
    <t>287,5</t>
  </si>
  <si>
    <t>214,1587</t>
  </si>
  <si>
    <t>Ботнарюк Виталина</t>
  </si>
  <si>
    <t>193,2394</t>
  </si>
  <si>
    <t>385,0</t>
  </si>
  <si>
    <t>299,5263</t>
  </si>
  <si>
    <t>545,0</t>
  </si>
  <si>
    <t>330,7344</t>
  </si>
  <si>
    <t>Обухов Дмитрий</t>
  </si>
  <si>
    <t>315,0</t>
  </si>
  <si>
    <t>241,8822</t>
  </si>
  <si>
    <t>Антоненко Валерий</t>
  </si>
  <si>
    <t>620,0</t>
  </si>
  <si>
    <t>344,1000</t>
  </si>
  <si>
    <t>Кармирьян Михаил</t>
  </si>
  <si>
    <t>505,0</t>
  </si>
  <si>
    <t>295,5765</t>
  </si>
  <si>
    <t>Задорожний Дмитрий</t>
  </si>
  <si>
    <t>520,0</t>
  </si>
  <si>
    <t>289,9000</t>
  </si>
  <si>
    <t>Сарьян Арсен</t>
  </si>
  <si>
    <t>575,0</t>
  </si>
  <si>
    <t>308,4875</t>
  </si>
  <si>
    <t>Чемпионат Южного федерального округа по пауэрлифтингу и силовым видам спорта
ПРО пауэрлифтинг в однослойной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</si>
  <si>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Любители пауэрлифтинг в однослойной экипировке
Краснодар/Краснодарский край 20 - 21 октября 2018 г.</t>
  </si>
  <si>
    <t>1. Кулибаев Арман</t>
  </si>
  <si>
    <t>Открытая (18.01.1983)/35</t>
  </si>
  <si>
    <t>70,70</t>
  </si>
  <si>
    <t>Кулибаев Арман</t>
  </si>
  <si>
    <t>379,9740</t>
  </si>
  <si>
    <t>Чемпионат Южного федерального округа по пауэрлифтингу и силовым видам спорта
ПРО пауэрлифтинг в многослойной экипировке
Краснодар/Краснодарский край 20 - 21 октября 2018 г.</t>
  </si>
  <si>
    <t>Чемпионат Южного федерального округа по пауэрлифтингу и силовым видам спорта
Любители пауэрлифтинг в многослойной экипировке
Краснодар/Краснодарский край 20 - 21 октября 2018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</si>
</sst>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</numFmts>
  <fonts count="46">
    <font>
      <sz val="10"/>
      <name val="Arial"/>
      <family val="2"/>
    </font>
    <font>
      <u val="single"/>
      <sz val="10"/>
      <name val="SimSun"/>
      <family val="2"/>
    </font>
    <font>
      <sz val="10"/>
      <name val="SimSun"/>
      <family val="2"/>
    </font>
    <font>
      <sz val="10"/>
      <name val="Arial Cyr"/>
      <family val="0"/>
    </font>
    <font>
      <b/>
      <sz val="2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0" xfId="33" applyNumberFormat="1" applyFont="1" applyFill="1" applyBorder="1" applyAlignment="1">
      <alignment horizontal="left"/>
      <protection/>
    </xf>
    <xf numFmtId="0" fontId="3" fillId="0" borderId="0" xfId="33" applyNumberFormat="1" applyFont="1" applyFill="1" applyBorder="1" applyAlignment="1">
      <alignment horizontal="left"/>
      <protection/>
    </xf>
    <xf numFmtId="49" fontId="3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 applyAlignment="1">
      <alignment horizontal="center"/>
      <protection/>
    </xf>
    <xf numFmtId="49" fontId="5" fillId="0" borderId="0" xfId="33" applyNumberFormat="1" applyFont="1" applyFill="1" applyBorder="1" applyAlignment="1">
      <alignment horizontal="center"/>
      <protection/>
    </xf>
    <xf numFmtId="49" fontId="6" fillId="0" borderId="0" xfId="33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/>
      <protection/>
    </xf>
    <xf numFmtId="1" fontId="3" fillId="0" borderId="0" xfId="33" applyNumberFormat="1" applyFont="1" applyFill="1" applyBorder="1" applyAlignment="1">
      <alignment horizontal="center"/>
      <protection/>
    </xf>
    <xf numFmtId="1" fontId="6" fillId="0" borderId="10" xfId="33" applyNumberFormat="1" applyFont="1" applyFill="1" applyBorder="1" applyAlignment="1">
      <alignment horizontal="center" vertical="center"/>
      <protection/>
    </xf>
    <xf numFmtId="49" fontId="7" fillId="0" borderId="0" xfId="33" applyNumberFormat="1" applyFont="1" applyFill="1" applyBorder="1" applyAlignment="1">
      <alignment horizontal="left"/>
      <protection/>
    </xf>
    <xf numFmtId="49" fontId="8" fillId="0" borderId="0" xfId="33" applyNumberFormat="1" applyFont="1" applyFill="1" applyBorder="1" applyAlignment="1">
      <alignment horizontal="left"/>
      <protection/>
    </xf>
    <xf numFmtId="49" fontId="3" fillId="0" borderId="11" xfId="33" applyNumberFormat="1" applyFont="1" applyFill="1" applyBorder="1" applyAlignment="1">
      <alignment horizontal="left"/>
      <protection/>
    </xf>
    <xf numFmtId="49" fontId="3" fillId="0" borderId="11" xfId="33" applyNumberFormat="1" applyFont="1" applyFill="1" applyBorder="1" applyAlignment="1">
      <alignment horizontal="center"/>
      <protection/>
    </xf>
    <xf numFmtId="49" fontId="10" fillId="0" borderId="11" xfId="33" applyNumberFormat="1" applyFont="1" applyFill="1" applyBorder="1" applyAlignment="1">
      <alignment horizontal="center"/>
      <protection/>
    </xf>
    <xf numFmtId="49" fontId="9" fillId="0" borderId="0" xfId="33" applyNumberFormat="1" applyFont="1" applyFill="1" applyBorder="1" applyAlignment="1">
      <alignment horizontal="left"/>
      <protection/>
    </xf>
    <xf numFmtId="49" fontId="11" fillId="0" borderId="0" xfId="33" applyNumberFormat="1" applyFont="1" applyFill="1" applyBorder="1" applyAlignment="1">
      <alignment horizontal="left" indent="1"/>
      <protection/>
    </xf>
    <xf numFmtId="49" fontId="11" fillId="0" borderId="0" xfId="33" applyNumberFormat="1" applyFont="1" applyFill="1" applyBorder="1" applyAlignment="1">
      <alignment horizontal="left"/>
      <protection/>
    </xf>
    <xf numFmtId="49" fontId="6" fillId="0" borderId="11" xfId="33" applyNumberFormat="1" applyFont="1" applyFill="1" applyBorder="1" applyAlignment="1">
      <alignment horizontal="center" vertical="center"/>
      <protection/>
    </xf>
    <xf numFmtId="49" fontId="3" fillId="0" borderId="0" xfId="33" applyNumberFormat="1" applyFont="1" applyFill="1" applyBorder="1" applyAlignment="1">
      <alignment horizontal="left" indent="1"/>
      <protection/>
    </xf>
    <xf numFmtId="49" fontId="5" fillId="0" borderId="0" xfId="33" applyNumberFormat="1" applyFont="1" applyFill="1" applyBorder="1" applyAlignment="1">
      <alignment horizontal="left"/>
      <protection/>
    </xf>
    <xf numFmtId="49" fontId="3" fillId="0" borderId="12" xfId="33" applyNumberFormat="1" applyFont="1" applyFill="1" applyBorder="1" applyAlignment="1">
      <alignment horizontal="left"/>
      <protection/>
    </xf>
    <xf numFmtId="49" fontId="3" fillId="0" borderId="12" xfId="33" applyNumberFormat="1" applyFont="1" applyFill="1" applyBorder="1" applyAlignment="1">
      <alignment horizontal="center"/>
      <protection/>
    </xf>
    <xf numFmtId="1" fontId="3" fillId="0" borderId="12" xfId="33" applyNumberFormat="1" applyFont="1" applyFill="1" applyBorder="1" applyAlignment="1">
      <alignment horizontal="center"/>
      <protection/>
    </xf>
    <xf numFmtId="49" fontId="3" fillId="0" borderId="13" xfId="33" applyNumberFormat="1" applyFont="1" applyFill="1" applyBorder="1" applyAlignment="1">
      <alignment horizontal="left"/>
      <protection/>
    </xf>
    <xf numFmtId="49" fontId="3" fillId="0" borderId="13" xfId="33" applyNumberFormat="1" applyFont="1" applyFill="1" applyBorder="1" applyAlignment="1">
      <alignment horizontal="center"/>
      <protection/>
    </xf>
    <xf numFmtId="1" fontId="3" fillId="0" borderId="13" xfId="33" applyNumberFormat="1" applyFont="1" applyFill="1" applyBorder="1" applyAlignment="1">
      <alignment horizontal="center"/>
      <protection/>
    </xf>
    <xf numFmtId="1" fontId="3" fillId="0" borderId="11" xfId="33" applyNumberFormat="1" applyFont="1" applyFill="1" applyBorder="1" applyAlignment="1">
      <alignment horizontal="center"/>
      <protection/>
    </xf>
    <xf numFmtId="49" fontId="10" fillId="0" borderId="12" xfId="33" applyNumberFormat="1" applyFont="1" applyFill="1" applyBorder="1" applyAlignment="1">
      <alignment horizontal="center"/>
      <protection/>
    </xf>
    <xf numFmtId="49" fontId="10" fillId="0" borderId="13" xfId="33" applyNumberFormat="1" applyFont="1" applyFill="1" applyBorder="1" applyAlignment="1">
      <alignment horizontal="center"/>
      <protection/>
    </xf>
    <xf numFmtId="49" fontId="3" fillId="0" borderId="14" xfId="33" applyNumberFormat="1" applyFont="1" applyFill="1" applyBorder="1" applyAlignment="1">
      <alignment horizontal="left"/>
      <protection/>
    </xf>
    <xf numFmtId="49" fontId="10" fillId="0" borderId="14" xfId="33" applyNumberFormat="1" applyFont="1" applyFill="1" applyBorder="1" applyAlignment="1">
      <alignment horizontal="center"/>
      <protection/>
    </xf>
    <xf numFmtId="49" fontId="3" fillId="0" borderId="14" xfId="33" applyNumberFormat="1" applyFont="1" applyFill="1" applyBorder="1" applyAlignment="1">
      <alignment horizontal="center"/>
      <protection/>
    </xf>
    <xf numFmtId="49" fontId="4" fillId="0" borderId="15" xfId="33" applyNumberFormat="1" applyFont="1" applyFill="1" applyBorder="1" applyAlignment="1">
      <alignment horizontal="center" vertical="center"/>
      <protection/>
    </xf>
    <xf numFmtId="49" fontId="6" fillId="0" borderId="16" xfId="33" applyNumberFormat="1" applyFont="1" applyFill="1" applyBorder="1" applyAlignment="1">
      <alignment horizontal="center" vertical="center"/>
      <protection/>
    </xf>
    <xf numFmtId="49" fontId="6" fillId="0" borderId="17" xfId="33" applyNumberFormat="1" applyFont="1" applyFill="1" applyBorder="1" applyAlignment="1">
      <alignment horizontal="center" vertical="center" wrapText="1"/>
      <protection/>
    </xf>
    <xf numFmtId="0" fontId="6" fillId="0" borderId="17" xfId="33" applyNumberFormat="1" applyFont="1" applyFill="1" applyBorder="1" applyAlignment="1">
      <alignment horizontal="center" vertical="center"/>
      <protection/>
    </xf>
    <xf numFmtId="49" fontId="6" fillId="0" borderId="17" xfId="33" applyNumberFormat="1" applyFont="1" applyFill="1" applyBorder="1" applyAlignment="1">
      <alignment horizontal="center" vertical="center"/>
      <protection/>
    </xf>
    <xf numFmtId="49" fontId="6" fillId="0" borderId="18" xfId="33" applyNumberFormat="1" applyFont="1" applyFill="1" applyBorder="1" applyAlignment="1">
      <alignment horizontal="center" vertical="center"/>
      <protection/>
    </xf>
    <xf numFmtId="49" fontId="6" fillId="0" borderId="19" xfId="33" applyNumberFormat="1" applyFont="1" applyFill="1" applyBorder="1" applyAlignment="1">
      <alignment horizontal="center" vertical="center"/>
      <protection/>
    </xf>
    <xf numFmtId="49" fontId="4" fillId="0" borderId="15" xfId="33" applyNumberFormat="1" applyFont="1" applyFill="1" applyBorder="1" applyAlignment="1">
      <alignment horizontal="center" vertical="center" wrapText="1"/>
      <protection/>
    </xf>
    <xf numFmtId="49" fontId="9" fillId="0" borderId="20" xfId="33" applyNumberFormat="1" applyFont="1" applyFill="1" applyBorder="1" applyAlignment="1">
      <alignment horizontal="center"/>
      <protection/>
    </xf>
    <xf numFmtId="49" fontId="9" fillId="0" borderId="0" xfId="33" applyNumberFormat="1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1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Результат" xfId="59"/>
    <cellStyle name="Результат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1" customWidth="1"/>
    <col min="2" max="2" width="27.8515625" style="1" customWidth="1"/>
    <col min="3" max="3" width="10.00390625" style="1" customWidth="1"/>
    <col min="4" max="4" width="6.57421875" style="2" customWidth="1"/>
    <col min="5" max="5" width="23.7109375" style="1" customWidth="1"/>
    <col min="6" max="6" width="21.140625" style="1" customWidth="1"/>
    <col min="7" max="7" width="5.57421875" style="3" customWidth="1"/>
    <col min="8" max="8" width="7.00390625" style="3" customWidth="1"/>
    <col min="9" max="9" width="6.28125" style="3" customWidth="1"/>
    <col min="10" max="10" width="5.57421875" style="3" customWidth="1"/>
    <col min="11" max="13" width="7.00390625" style="3" customWidth="1"/>
    <col min="14" max="14" width="5.57421875" style="3" customWidth="1"/>
    <col min="15" max="16" width="7.00390625" style="3" customWidth="1"/>
    <col min="17" max="17" width="6.28125" style="3" customWidth="1"/>
    <col min="18" max="18" width="5.57421875" style="3" customWidth="1"/>
    <col min="19" max="19" width="7.8515625" style="2" customWidth="1"/>
    <col min="20" max="20" width="8.57421875" style="4" customWidth="1"/>
    <col min="21" max="21" width="23.00390625" style="1" customWidth="1"/>
    <col min="22" max="16384" width="9.140625" style="3" customWidth="1"/>
  </cols>
  <sheetData>
    <row r="1" spans="1:21" s="5" customFormat="1" ht="1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5" customFormat="1" ht="66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6" customFormat="1" ht="12.75" customHeight="1">
      <c r="A3" s="34" t="s">
        <v>0</v>
      </c>
      <c r="B3" s="35" t="s">
        <v>1</v>
      </c>
      <c r="C3" s="35" t="s">
        <v>2</v>
      </c>
      <c r="D3" s="36" t="s">
        <v>3</v>
      </c>
      <c r="E3" s="37" t="s">
        <v>4</v>
      </c>
      <c r="F3" s="37" t="s">
        <v>5</v>
      </c>
      <c r="G3" s="38" t="s">
        <v>6</v>
      </c>
      <c r="H3" s="38"/>
      <c r="I3" s="38"/>
      <c r="J3" s="38"/>
      <c r="K3" s="38" t="s">
        <v>7</v>
      </c>
      <c r="L3" s="38"/>
      <c r="M3" s="38"/>
      <c r="N3" s="38"/>
      <c r="O3" s="38" t="s">
        <v>8</v>
      </c>
      <c r="P3" s="38"/>
      <c r="Q3" s="38"/>
      <c r="R3" s="38"/>
      <c r="S3" s="36" t="s">
        <v>9</v>
      </c>
      <c r="T3" s="36" t="s">
        <v>10</v>
      </c>
      <c r="U3" s="39" t="s">
        <v>11</v>
      </c>
    </row>
    <row r="4" spans="1:21" s="6" customFormat="1" ht="21" customHeight="1">
      <c r="A4" s="34"/>
      <c r="B4" s="35"/>
      <c r="C4" s="35"/>
      <c r="D4" s="36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6"/>
      <c r="T4" s="36"/>
      <c r="U4" s="39"/>
    </row>
  </sheetData>
  <sheetProtection selectLockedCells="1" selectUnlockedCells="1"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2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3" width="2.140625" style="3" customWidth="1"/>
    <col min="14" max="14" width="4.8515625" style="3" customWidth="1"/>
    <col min="15" max="15" width="7.8515625" style="1" customWidth="1"/>
    <col min="16" max="16" width="6.421875" style="3" customWidth="1"/>
    <col min="17" max="17" width="8.8515625" style="1" customWidth="1"/>
    <col min="18" max="16384" width="9.140625" style="3" customWidth="1"/>
  </cols>
  <sheetData>
    <row r="1" spans="1:17" s="5" customFormat="1" ht="28.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7" t="s">
        <v>9</v>
      </c>
      <c r="P3" s="37" t="s">
        <v>10</v>
      </c>
      <c r="Q3" s="39" t="s">
        <v>11</v>
      </c>
    </row>
    <row r="4" spans="1:17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37"/>
      <c r="P4" s="37"/>
      <c r="Q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2">
    <mergeCell ref="P3:P4"/>
    <mergeCell ref="Q3:Q4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10.57421875" style="1" customWidth="1"/>
    <col min="4" max="4" width="9.28125" style="1" customWidth="1"/>
    <col min="5" max="5" width="22.7109375" style="1" customWidth="1"/>
    <col min="6" max="6" width="25.57421875" style="1" customWidth="1"/>
    <col min="7" max="9" width="4.57421875" style="3" customWidth="1"/>
    <col min="10" max="10" width="4.8515625" style="3" customWidth="1"/>
    <col min="11" max="13" width="4.57421875" style="3" customWidth="1"/>
    <col min="14" max="14" width="4.8515625" style="3" customWidth="1"/>
    <col min="15" max="15" width="7.8515625" style="1" customWidth="1"/>
    <col min="16" max="16" width="7.57421875" style="3" customWidth="1"/>
    <col min="17" max="17" width="8.8515625" style="1" customWidth="1"/>
    <col min="18" max="16384" width="9.140625" style="3" customWidth="1"/>
  </cols>
  <sheetData>
    <row r="1" spans="1:17" s="5" customFormat="1" ht="28.5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38</v>
      </c>
      <c r="H3" s="38"/>
      <c r="I3" s="38"/>
      <c r="J3" s="38"/>
      <c r="K3" s="38" t="s">
        <v>39</v>
      </c>
      <c r="L3" s="38"/>
      <c r="M3" s="38"/>
      <c r="N3" s="38"/>
      <c r="O3" s="37" t="s">
        <v>9</v>
      </c>
      <c r="P3" s="37" t="s">
        <v>10</v>
      </c>
      <c r="Q3" s="39" t="s">
        <v>11</v>
      </c>
    </row>
    <row r="4" spans="1:17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37"/>
      <c r="P4" s="37"/>
      <c r="Q4" s="39"/>
    </row>
    <row r="5" spans="1:16" ht="15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7" ht="12.75">
      <c r="A6" s="12" t="s">
        <v>41</v>
      </c>
      <c r="B6" s="12" t="s">
        <v>42</v>
      </c>
      <c r="C6" s="12" t="s">
        <v>43</v>
      </c>
      <c r="D6" s="12" t="str">
        <f>"0,6262"</f>
        <v>0,6262</v>
      </c>
      <c r="E6" s="12" t="s">
        <v>44</v>
      </c>
      <c r="F6" s="12" t="s">
        <v>45</v>
      </c>
      <c r="G6" s="13" t="s">
        <v>46</v>
      </c>
      <c r="H6" s="13" t="s">
        <v>47</v>
      </c>
      <c r="I6" s="14" t="s">
        <v>48</v>
      </c>
      <c r="J6" s="14"/>
      <c r="K6" s="13" t="s">
        <v>49</v>
      </c>
      <c r="L6" s="13" t="s">
        <v>50</v>
      </c>
      <c r="M6" s="13" t="s">
        <v>51</v>
      </c>
      <c r="N6" s="14"/>
      <c r="O6" s="12" t="str">
        <f>"132,5"</f>
        <v>132,5</v>
      </c>
      <c r="P6" s="13" t="str">
        <f>"82,9715"</f>
        <v>82,9715</v>
      </c>
      <c r="Q6" s="12" t="s">
        <v>52</v>
      </c>
    </row>
    <row r="8" ht="15">
      <c r="E8" s="10" t="s">
        <v>18</v>
      </c>
    </row>
    <row r="9" ht="15">
      <c r="E9" s="10" t="s">
        <v>19</v>
      </c>
    </row>
    <row r="10" ht="15">
      <c r="E10" s="10" t="s">
        <v>20</v>
      </c>
    </row>
    <row r="11" ht="15">
      <c r="E11" s="10" t="s">
        <v>21</v>
      </c>
    </row>
    <row r="12" ht="15">
      <c r="E12" s="10" t="s">
        <v>21</v>
      </c>
    </row>
    <row r="13" ht="15">
      <c r="E13" s="10" t="s">
        <v>22</v>
      </c>
    </row>
    <row r="14" ht="15">
      <c r="E14" s="10"/>
    </row>
    <row r="16" spans="1:2" ht="18">
      <c r="A16" s="11" t="s">
        <v>23</v>
      </c>
      <c r="B16" s="11"/>
    </row>
    <row r="17" spans="1:2" ht="15">
      <c r="A17" s="15" t="s">
        <v>53</v>
      </c>
      <c r="B17" s="15"/>
    </row>
    <row r="18" spans="1:2" ht="14.25">
      <c r="A18" s="16"/>
      <c r="B18" s="17" t="s">
        <v>54</v>
      </c>
    </row>
    <row r="19" spans="1:5" ht="15">
      <c r="A19" s="18" t="s">
        <v>55</v>
      </c>
      <c r="B19" s="18" t="s">
        <v>56</v>
      </c>
      <c r="C19" s="18" t="s">
        <v>57</v>
      </c>
      <c r="D19" s="18" t="s">
        <v>58</v>
      </c>
      <c r="E19" s="18" t="s">
        <v>59</v>
      </c>
    </row>
    <row r="20" spans="1:5" ht="12.75">
      <c r="A20" s="19" t="s">
        <v>60</v>
      </c>
      <c r="B20" s="1" t="s">
        <v>54</v>
      </c>
      <c r="C20" s="1" t="s">
        <v>61</v>
      </c>
      <c r="D20" s="1" t="s">
        <v>62</v>
      </c>
      <c r="E20" s="20" t="s">
        <v>63</v>
      </c>
    </row>
  </sheetData>
  <sheetProtection selectLockedCells="1" selectUnlockedCells="1"/>
  <mergeCells count="13"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8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8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7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7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69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8.57421875" style="1" customWidth="1"/>
    <col min="3" max="3" width="10.57421875" style="1" customWidth="1"/>
    <col min="4" max="4" width="10.7109375" style="1" customWidth="1"/>
    <col min="5" max="5" width="22.7109375" style="1" customWidth="1"/>
    <col min="6" max="6" width="32.57421875" style="1" customWidth="1"/>
    <col min="7" max="7" width="5.57421875" style="3" customWidth="1"/>
    <col min="8" max="8" width="4.57421875" style="8" customWidth="1"/>
    <col min="9" max="9" width="7.8515625" style="1" customWidth="1"/>
    <col min="10" max="10" width="9.57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 t="s">
        <v>71</v>
      </c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5" spans="1:10" ht="15">
      <c r="A5" s="41" t="s">
        <v>72</v>
      </c>
      <c r="B5" s="41"/>
      <c r="C5" s="41"/>
      <c r="D5" s="41"/>
      <c r="E5" s="41"/>
      <c r="F5" s="41"/>
      <c r="G5" s="41"/>
      <c r="H5" s="41"/>
      <c r="I5" s="41"/>
      <c r="J5" s="41"/>
    </row>
    <row r="6" spans="1:11" ht="12.75">
      <c r="A6" s="21" t="s">
        <v>73</v>
      </c>
      <c r="B6" s="21" t="s">
        <v>74</v>
      </c>
      <c r="C6" s="21" t="s">
        <v>75</v>
      </c>
      <c r="D6" s="21" t="str">
        <f>"0,6802"</f>
        <v>0,6802</v>
      </c>
      <c r="E6" s="21" t="s">
        <v>44</v>
      </c>
      <c r="F6" s="21" t="s">
        <v>76</v>
      </c>
      <c r="G6" s="22" t="s">
        <v>77</v>
      </c>
      <c r="H6" s="23" t="s">
        <v>78</v>
      </c>
      <c r="I6" s="21" t="str">
        <f>"2827,5"</f>
        <v>2827,5</v>
      </c>
      <c r="J6" s="22" t="str">
        <f>"1923,2654"</f>
        <v>1923,2654</v>
      </c>
      <c r="K6" s="21" t="s">
        <v>52</v>
      </c>
    </row>
    <row r="7" spans="1:11" ht="12.75">
      <c r="A7" s="24" t="s">
        <v>79</v>
      </c>
      <c r="B7" s="24" t="s">
        <v>80</v>
      </c>
      <c r="C7" s="24" t="s">
        <v>81</v>
      </c>
      <c r="D7" s="24" t="str">
        <f>"0,6651"</f>
        <v>0,6651</v>
      </c>
      <c r="E7" s="24" t="s">
        <v>82</v>
      </c>
      <c r="F7" s="24" t="s">
        <v>83</v>
      </c>
      <c r="G7" s="25" t="s">
        <v>84</v>
      </c>
      <c r="H7" s="26" t="s">
        <v>85</v>
      </c>
      <c r="I7" s="24" t="str">
        <f>"2300,0"</f>
        <v>2300,0</v>
      </c>
      <c r="J7" s="25" t="str">
        <f>"1529,7300"</f>
        <v>1529,7300</v>
      </c>
      <c r="K7" s="24" t="s">
        <v>52</v>
      </c>
    </row>
    <row r="9" ht="15">
      <c r="E9" s="10" t="s">
        <v>18</v>
      </c>
    </row>
    <row r="10" ht="15">
      <c r="E10" s="10" t="s">
        <v>19</v>
      </c>
    </row>
    <row r="11" ht="15">
      <c r="E11" s="10" t="s">
        <v>20</v>
      </c>
    </row>
    <row r="12" ht="15">
      <c r="E12" s="10" t="s">
        <v>21</v>
      </c>
    </row>
    <row r="13" ht="15">
      <c r="E13" s="10" t="s">
        <v>21</v>
      </c>
    </row>
    <row r="14" ht="15">
      <c r="E14" s="10" t="s">
        <v>22</v>
      </c>
    </row>
    <row r="15" ht="15">
      <c r="E15" s="10"/>
    </row>
    <row r="17" spans="1:2" ht="18">
      <c r="A17" s="11" t="s">
        <v>23</v>
      </c>
      <c r="B17" s="11"/>
    </row>
    <row r="18" spans="1:2" ht="15">
      <c r="A18" s="15" t="s">
        <v>53</v>
      </c>
      <c r="B18" s="15"/>
    </row>
    <row r="19" spans="1:2" ht="14.25">
      <c r="A19" s="16"/>
      <c r="B19" s="17" t="s">
        <v>54</v>
      </c>
    </row>
    <row r="20" spans="1:5" ht="15">
      <c r="A20" s="18" t="s">
        <v>55</v>
      </c>
      <c r="B20" s="18" t="s">
        <v>56</v>
      </c>
      <c r="C20" s="18" t="s">
        <v>57</v>
      </c>
      <c r="D20" s="18" t="s">
        <v>58</v>
      </c>
      <c r="E20" s="18" t="s">
        <v>86</v>
      </c>
    </row>
    <row r="21" spans="1:5" ht="12.75">
      <c r="A21" s="19" t="s">
        <v>87</v>
      </c>
      <c r="B21" s="1" t="s">
        <v>54</v>
      </c>
      <c r="C21" s="1" t="s">
        <v>84</v>
      </c>
      <c r="D21" s="1" t="s">
        <v>88</v>
      </c>
      <c r="E21" s="20" t="s">
        <v>89</v>
      </c>
    </row>
    <row r="23" spans="1:2" ht="14.25">
      <c r="A23" s="16"/>
      <c r="B23" s="17" t="s">
        <v>90</v>
      </c>
    </row>
    <row r="24" spans="1:5" ht="15">
      <c r="A24" s="18" t="s">
        <v>55</v>
      </c>
      <c r="B24" s="18" t="s">
        <v>56</v>
      </c>
      <c r="C24" s="18" t="s">
        <v>57</v>
      </c>
      <c r="D24" s="18" t="s">
        <v>58</v>
      </c>
      <c r="E24" s="18" t="s">
        <v>86</v>
      </c>
    </row>
    <row r="25" spans="1:5" ht="12.75">
      <c r="A25" s="19" t="s">
        <v>91</v>
      </c>
      <c r="B25" s="1" t="s">
        <v>92</v>
      </c>
      <c r="C25" s="1" t="s">
        <v>84</v>
      </c>
      <c r="D25" s="1" t="s">
        <v>93</v>
      </c>
      <c r="E25" s="20" t="s">
        <v>94</v>
      </c>
    </row>
  </sheetData>
  <sheetProtection selectLockedCells="1" selectUnlockedCells="1"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8.57421875" style="1" customWidth="1"/>
    <col min="3" max="3" width="10.57421875" style="1" customWidth="1"/>
    <col min="4" max="4" width="10.7109375" style="1" customWidth="1"/>
    <col min="5" max="5" width="22.7109375" style="1" customWidth="1"/>
    <col min="6" max="6" width="29.7109375" style="1" customWidth="1"/>
    <col min="7" max="7" width="6.57421875" style="3" customWidth="1"/>
    <col min="8" max="8" width="4.57421875" style="8" customWidth="1"/>
    <col min="9" max="9" width="7.8515625" style="1" customWidth="1"/>
    <col min="10" max="10" width="9.57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96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 t="s">
        <v>71</v>
      </c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5" spans="1:10" ht="15">
      <c r="A5" s="41" t="s">
        <v>97</v>
      </c>
      <c r="B5" s="41"/>
      <c r="C5" s="41"/>
      <c r="D5" s="41"/>
      <c r="E5" s="41"/>
      <c r="F5" s="41"/>
      <c r="G5" s="41"/>
      <c r="H5" s="41"/>
      <c r="I5" s="41"/>
      <c r="J5" s="41"/>
    </row>
    <row r="6" spans="1:11" ht="12.75">
      <c r="A6" s="12" t="s">
        <v>98</v>
      </c>
      <c r="B6" s="12" t="s">
        <v>99</v>
      </c>
      <c r="C6" s="12" t="s">
        <v>100</v>
      </c>
      <c r="D6" s="12" t="str">
        <f>"0,7161"</f>
        <v>0,7161</v>
      </c>
      <c r="E6" s="12" t="s">
        <v>101</v>
      </c>
      <c r="F6" s="12" t="s">
        <v>102</v>
      </c>
      <c r="G6" s="13" t="s">
        <v>103</v>
      </c>
      <c r="H6" s="27" t="s">
        <v>104</v>
      </c>
      <c r="I6" s="12" t="str">
        <f>"2790,0"</f>
        <v>2790,0</v>
      </c>
      <c r="J6" s="13" t="str">
        <f>"1997,9189"</f>
        <v>1997,9189</v>
      </c>
      <c r="K6" s="12" t="s">
        <v>52</v>
      </c>
    </row>
    <row r="8" spans="1:10" ht="15">
      <c r="A8" s="42" t="s">
        <v>105</v>
      </c>
      <c r="B8" s="42"/>
      <c r="C8" s="42"/>
      <c r="D8" s="42"/>
      <c r="E8" s="42"/>
      <c r="F8" s="42"/>
      <c r="G8" s="42"/>
      <c r="H8" s="42"/>
      <c r="I8" s="42"/>
      <c r="J8" s="42"/>
    </row>
    <row r="9" spans="1:11" ht="12.75">
      <c r="A9" s="12" t="s">
        <v>106</v>
      </c>
      <c r="B9" s="12" t="s">
        <v>107</v>
      </c>
      <c r="C9" s="12" t="s">
        <v>108</v>
      </c>
      <c r="D9" s="12" t="str">
        <f>"0,6475"</f>
        <v>0,6475</v>
      </c>
      <c r="E9" s="12" t="s">
        <v>44</v>
      </c>
      <c r="F9" s="12" t="s">
        <v>109</v>
      </c>
      <c r="G9" s="13" t="s">
        <v>110</v>
      </c>
      <c r="H9" s="27" t="s">
        <v>111</v>
      </c>
      <c r="I9" s="12" t="str">
        <f>"1980,0"</f>
        <v>1980,0</v>
      </c>
      <c r="J9" s="13" t="str">
        <f>"1282,0500"</f>
        <v>1282,0500</v>
      </c>
      <c r="K9" s="12" t="s">
        <v>52</v>
      </c>
    </row>
    <row r="11" ht="15">
      <c r="E11" s="10" t="s">
        <v>18</v>
      </c>
    </row>
    <row r="12" ht="15">
      <c r="E12" s="10" t="s">
        <v>19</v>
      </c>
    </row>
    <row r="13" ht="15">
      <c r="E13" s="10" t="s">
        <v>20</v>
      </c>
    </row>
    <row r="14" ht="15">
      <c r="E14" s="10" t="s">
        <v>21</v>
      </c>
    </row>
    <row r="15" ht="15">
      <c r="E15" s="10" t="s">
        <v>21</v>
      </c>
    </row>
    <row r="16" ht="15">
      <c r="E16" s="10" t="s">
        <v>22</v>
      </c>
    </row>
    <row r="17" ht="15">
      <c r="E17" s="10"/>
    </row>
    <row r="19" spans="1:2" ht="18">
      <c r="A19" s="11" t="s">
        <v>23</v>
      </c>
      <c r="B19" s="11"/>
    </row>
    <row r="20" spans="1:2" ht="15">
      <c r="A20" s="15" t="s">
        <v>53</v>
      </c>
      <c r="B20" s="15"/>
    </row>
    <row r="21" spans="1:2" ht="14.25">
      <c r="A21" s="16"/>
      <c r="B21" s="17" t="s">
        <v>54</v>
      </c>
    </row>
    <row r="22" spans="1:5" ht="15">
      <c r="A22" s="18" t="s">
        <v>55</v>
      </c>
      <c r="B22" s="18" t="s">
        <v>56</v>
      </c>
      <c r="C22" s="18" t="s">
        <v>57</v>
      </c>
      <c r="D22" s="18" t="s">
        <v>58</v>
      </c>
      <c r="E22" s="18" t="s">
        <v>86</v>
      </c>
    </row>
    <row r="23" spans="1:5" ht="12.75">
      <c r="A23" s="19" t="s">
        <v>112</v>
      </c>
      <c r="B23" s="1" t="s">
        <v>54</v>
      </c>
      <c r="C23" s="1" t="s">
        <v>103</v>
      </c>
      <c r="D23" s="1" t="s">
        <v>113</v>
      </c>
      <c r="E23" s="20" t="s">
        <v>114</v>
      </c>
    </row>
    <row r="25" spans="1:2" ht="14.25">
      <c r="A25" s="16"/>
      <c r="B25" s="17" t="s">
        <v>90</v>
      </c>
    </row>
    <row r="26" spans="1:5" ht="15">
      <c r="A26" s="18" t="s">
        <v>55</v>
      </c>
      <c r="B26" s="18" t="s">
        <v>56</v>
      </c>
      <c r="C26" s="18" t="s">
        <v>57</v>
      </c>
      <c r="D26" s="18" t="s">
        <v>58</v>
      </c>
      <c r="E26" s="18" t="s">
        <v>86</v>
      </c>
    </row>
    <row r="27" spans="1:5" ht="12.75">
      <c r="A27" s="19" t="s">
        <v>115</v>
      </c>
      <c r="B27" s="1" t="s">
        <v>116</v>
      </c>
      <c r="C27" s="1" t="s">
        <v>117</v>
      </c>
      <c r="D27" s="1" t="s">
        <v>118</v>
      </c>
      <c r="E27" s="20" t="s">
        <v>119</v>
      </c>
    </row>
  </sheetData>
  <sheetProtection selectLockedCells="1" selectUnlockedCells="1"/>
  <mergeCells count="13">
    <mergeCell ref="K3:K4"/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120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6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121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6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M2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10.57421875" style="1" customWidth="1"/>
    <col min="4" max="4" width="9.28125" style="1" customWidth="1"/>
    <col min="5" max="5" width="22.7109375" style="1" customWidth="1"/>
    <col min="6" max="6" width="29.7109375" style="1" customWidth="1"/>
    <col min="7" max="9" width="5.57421875" style="3" customWidth="1"/>
    <col min="10" max="10" width="4.8515625" style="3" customWidth="1"/>
    <col min="11" max="11" width="7.8515625" style="1" customWidth="1"/>
    <col min="12" max="12" width="8.57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122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123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5" spans="1:12" ht="15">
      <c r="A5" s="41" t="s">
        <v>124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12" t="s">
        <v>125</v>
      </c>
      <c r="B6" s="12" t="s">
        <v>126</v>
      </c>
      <c r="C6" s="12" t="s">
        <v>127</v>
      </c>
      <c r="D6" s="12" t="str">
        <f>"0,9693"</f>
        <v>0,9693</v>
      </c>
      <c r="E6" s="12" t="s">
        <v>44</v>
      </c>
      <c r="F6" s="12" t="s">
        <v>102</v>
      </c>
      <c r="G6" s="13" t="s">
        <v>128</v>
      </c>
      <c r="H6" s="13" t="s">
        <v>129</v>
      </c>
      <c r="I6" s="13" t="s">
        <v>48</v>
      </c>
      <c r="J6" s="14"/>
      <c r="K6" s="12" t="str">
        <f>"87,5"</f>
        <v>87,5</v>
      </c>
      <c r="L6" s="13" t="str">
        <f>"84,8181"</f>
        <v>84,8181</v>
      </c>
      <c r="M6" s="12" t="s">
        <v>52</v>
      </c>
    </row>
    <row r="8" spans="1:12" ht="15">
      <c r="A8" s="42" t="s">
        <v>130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 ht="12.75">
      <c r="A9" s="12" t="s">
        <v>131</v>
      </c>
      <c r="B9" s="12" t="s">
        <v>132</v>
      </c>
      <c r="C9" s="12" t="s">
        <v>133</v>
      </c>
      <c r="D9" s="12" t="str">
        <f>"0,5288"</f>
        <v>0,5288</v>
      </c>
      <c r="E9" s="12" t="s">
        <v>134</v>
      </c>
      <c r="F9" s="12" t="s">
        <v>135</v>
      </c>
      <c r="G9" s="13" t="s">
        <v>136</v>
      </c>
      <c r="H9" s="13" t="s">
        <v>137</v>
      </c>
      <c r="I9" s="14" t="s">
        <v>138</v>
      </c>
      <c r="J9" s="14"/>
      <c r="K9" s="12" t="str">
        <f>"310,0"</f>
        <v>310,0</v>
      </c>
      <c r="L9" s="13" t="str">
        <f>"163,9280"</f>
        <v>163,9280</v>
      </c>
      <c r="M9" s="12" t="s">
        <v>52</v>
      </c>
    </row>
    <row r="11" ht="15">
      <c r="E11" s="10" t="s">
        <v>18</v>
      </c>
    </row>
    <row r="12" ht="15">
      <c r="E12" s="10" t="s">
        <v>19</v>
      </c>
    </row>
    <row r="13" ht="15">
      <c r="E13" s="10" t="s">
        <v>20</v>
      </c>
    </row>
    <row r="14" ht="15">
      <c r="E14" s="10" t="s">
        <v>21</v>
      </c>
    </row>
    <row r="15" ht="15">
      <c r="E15" s="10" t="s">
        <v>21</v>
      </c>
    </row>
    <row r="16" ht="15">
      <c r="E16" s="10" t="s">
        <v>22</v>
      </c>
    </row>
    <row r="17" ht="15">
      <c r="E17" s="10"/>
    </row>
    <row r="19" spans="1:2" ht="18">
      <c r="A19" s="11" t="s">
        <v>23</v>
      </c>
      <c r="B19" s="11"/>
    </row>
    <row r="20" spans="1:2" ht="15">
      <c r="A20" s="15" t="s">
        <v>139</v>
      </c>
      <c r="B20" s="15"/>
    </row>
    <row r="21" spans="1:2" ht="14.25">
      <c r="A21" s="16"/>
      <c r="B21" s="17" t="s">
        <v>54</v>
      </c>
    </row>
    <row r="22" spans="1:5" ht="15">
      <c r="A22" s="18" t="s">
        <v>55</v>
      </c>
      <c r="B22" s="18" t="s">
        <v>56</v>
      </c>
      <c r="C22" s="18" t="s">
        <v>57</v>
      </c>
      <c r="D22" s="18" t="s">
        <v>58</v>
      </c>
      <c r="E22" s="18" t="s">
        <v>59</v>
      </c>
    </row>
    <row r="23" spans="1:5" ht="12.75">
      <c r="A23" s="19" t="s">
        <v>140</v>
      </c>
      <c r="B23" s="1" t="s">
        <v>54</v>
      </c>
      <c r="C23" s="1" t="s">
        <v>141</v>
      </c>
      <c r="D23" s="1" t="s">
        <v>48</v>
      </c>
      <c r="E23" s="20" t="s">
        <v>142</v>
      </c>
    </row>
    <row r="26" spans="1:2" ht="15">
      <c r="A26" s="15" t="s">
        <v>53</v>
      </c>
      <c r="B26" s="15"/>
    </row>
    <row r="27" spans="1:2" ht="14.25">
      <c r="A27" s="16"/>
      <c r="B27" s="17" t="s">
        <v>54</v>
      </c>
    </row>
    <row r="28" spans="1:5" ht="15">
      <c r="A28" s="18" t="s">
        <v>55</v>
      </c>
      <c r="B28" s="18" t="s">
        <v>56</v>
      </c>
      <c r="C28" s="18" t="s">
        <v>57</v>
      </c>
      <c r="D28" s="18" t="s">
        <v>58</v>
      </c>
      <c r="E28" s="18" t="s">
        <v>59</v>
      </c>
    </row>
    <row r="29" spans="1:5" ht="12.75">
      <c r="A29" s="19" t="s">
        <v>143</v>
      </c>
      <c r="B29" s="1" t="s">
        <v>54</v>
      </c>
      <c r="C29" s="1" t="s">
        <v>144</v>
      </c>
      <c r="D29" s="1" t="s">
        <v>137</v>
      </c>
      <c r="E29" s="20" t="s">
        <v>145</v>
      </c>
    </row>
  </sheetData>
  <sheetProtection selectLockedCells="1" selectUnlockedCells="1"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146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6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147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6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6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149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6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150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6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151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8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8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8.57421875" style="1" customWidth="1"/>
    <col min="3" max="3" width="10.57421875" style="1" customWidth="1"/>
    <col min="4" max="4" width="9.28125" style="1" customWidth="1"/>
    <col min="5" max="5" width="22.7109375" style="1" customWidth="1"/>
    <col min="6" max="6" width="29.7109375" style="1" customWidth="1"/>
    <col min="7" max="8" width="6.57421875" style="3" customWidth="1"/>
    <col min="9" max="9" width="5.57421875" style="3" customWidth="1"/>
    <col min="10" max="10" width="4.8515625" style="3" customWidth="1"/>
    <col min="11" max="11" width="7.8515625" style="1" customWidth="1"/>
    <col min="12" max="12" width="8.57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153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154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5" spans="1:12" ht="15">
      <c r="A5" s="41" t="s">
        <v>72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12" t="s">
        <v>155</v>
      </c>
      <c r="B6" s="12" t="s">
        <v>156</v>
      </c>
      <c r="C6" s="12" t="s">
        <v>157</v>
      </c>
      <c r="D6" s="12" t="str">
        <f>"0,5563"</f>
        <v>0,5563</v>
      </c>
      <c r="E6" s="12" t="s">
        <v>44</v>
      </c>
      <c r="F6" s="12" t="s">
        <v>102</v>
      </c>
      <c r="G6" s="13" t="s">
        <v>158</v>
      </c>
      <c r="H6" s="13" t="s">
        <v>159</v>
      </c>
      <c r="I6" s="14"/>
      <c r="J6" s="14"/>
      <c r="K6" s="12" t="str">
        <f>"250,0"</f>
        <v>250,0</v>
      </c>
      <c r="L6" s="13" t="str">
        <f>"139,0750"</f>
        <v>139,0750</v>
      </c>
      <c r="M6" s="12" t="s">
        <v>52</v>
      </c>
    </row>
    <row r="8" spans="1:12" ht="15">
      <c r="A8" s="42" t="s">
        <v>130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 ht="12.75">
      <c r="A9" s="12" t="s">
        <v>131</v>
      </c>
      <c r="B9" s="12" t="s">
        <v>132</v>
      </c>
      <c r="C9" s="12" t="s">
        <v>133</v>
      </c>
      <c r="D9" s="12" t="str">
        <f>"0,5288"</f>
        <v>0,5288</v>
      </c>
      <c r="E9" s="12" t="s">
        <v>134</v>
      </c>
      <c r="F9" s="12" t="s">
        <v>135</v>
      </c>
      <c r="G9" s="13" t="s">
        <v>160</v>
      </c>
      <c r="H9" s="13" t="s">
        <v>161</v>
      </c>
      <c r="I9" s="14" t="s">
        <v>137</v>
      </c>
      <c r="J9" s="14"/>
      <c r="K9" s="12" t="str">
        <f>"300,0"</f>
        <v>300,0</v>
      </c>
      <c r="L9" s="13" t="str">
        <f>"158,6400"</f>
        <v>158,6400</v>
      </c>
      <c r="M9" s="12" t="s">
        <v>52</v>
      </c>
    </row>
    <row r="11" ht="15">
      <c r="E11" s="10" t="s">
        <v>18</v>
      </c>
    </row>
    <row r="12" ht="15">
      <c r="E12" s="10" t="s">
        <v>19</v>
      </c>
    </row>
    <row r="13" ht="15">
      <c r="E13" s="10" t="s">
        <v>20</v>
      </c>
    </row>
    <row r="14" ht="15">
      <c r="E14" s="10" t="s">
        <v>21</v>
      </c>
    </row>
    <row r="15" ht="15">
      <c r="E15" s="10" t="s">
        <v>21</v>
      </c>
    </row>
    <row r="16" ht="15">
      <c r="E16" s="10" t="s">
        <v>22</v>
      </c>
    </row>
    <row r="17" ht="15">
      <c r="E17" s="10"/>
    </row>
    <row r="19" spans="1:2" ht="18">
      <c r="A19" s="11" t="s">
        <v>23</v>
      </c>
      <c r="B19" s="11"/>
    </row>
    <row r="20" spans="1:2" ht="15">
      <c r="A20" s="15" t="s">
        <v>53</v>
      </c>
      <c r="B20" s="15"/>
    </row>
    <row r="21" spans="1:2" ht="14.25">
      <c r="A21" s="16"/>
      <c r="B21" s="17" t="s">
        <v>54</v>
      </c>
    </row>
    <row r="22" spans="1:5" ht="15">
      <c r="A22" s="18" t="s">
        <v>55</v>
      </c>
      <c r="B22" s="18" t="s">
        <v>56</v>
      </c>
      <c r="C22" s="18" t="s">
        <v>57</v>
      </c>
      <c r="D22" s="18" t="s">
        <v>58</v>
      </c>
      <c r="E22" s="18" t="s">
        <v>59</v>
      </c>
    </row>
    <row r="23" spans="1:5" ht="12.75">
      <c r="A23" s="19" t="s">
        <v>143</v>
      </c>
      <c r="B23" s="1" t="s">
        <v>54</v>
      </c>
      <c r="C23" s="1" t="s">
        <v>144</v>
      </c>
      <c r="D23" s="1" t="s">
        <v>161</v>
      </c>
      <c r="E23" s="20" t="s">
        <v>162</v>
      </c>
    </row>
    <row r="25" spans="1:2" ht="14.25">
      <c r="A25" s="16"/>
      <c r="B25" s="17" t="s">
        <v>90</v>
      </c>
    </row>
    <row r="26" spans="1:5" ht="15">
      <c r="A26" s="18" t="s">
        <v>55</v>
      </c>
      <c r="B26" s="18" t="s">
        <v>56</v>
      </c>
      <c r="C26" s="18" t="s">
        <v>57</v>
      </c>
      <c r="D26" s="18" t="s">
        <v>58</v>
      </c>
      <c r="E26" s="18" t="s">
        <v>59</v>
      </c>
    </row>
    <row r="27" spans="1:5" ht="12.75">
      <c r="A27" s="19" t="s">
        <v>163</v>
      </c>
      <c r="B27" s="1" t="s">
        <v>164</v>
      </c>
      <c r="C27" s="1" t="s">
        <v>84</v>
      </c>
      <c r="D27" s="1" t="s">
        <v>165</v>
      </c>
      <c r="E27" s="20" t="s">
        <v>166</v>
      </c>
    </row>
  </sheetData>
  <sheetProtection selectLockedCells="1" selectUnlockedCells="1"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1" sqref="A1:M2"/>
    </sheetView>
  </sheetViews>
  <sheetFormatPr defaultColWidth="9.140625" defaultRowHeight="12.75"/>
  <cols>
    <col min="1" max="1" width="26.00390625" style="1" customWidth="1"/>
    <col min="2" max="2" width="29.00390625" style="1" customWidth="1"/>
    <col min="3" max="3" width="10.57421875" style="1" customWidth="1"/>
    <col min="4" max="4" width="9.28125" style="1" customWidth="1"/>
    <col min="5" max="5" width="22.7109375" style="1" customWidth="1"/>
    <col min="6" max="6" width="32.00390625" style="1" customWidth="1"/>
    <col min="7" max="9" width="6.57421875" style="3" customWidth="1"/>
    <col min="10" max="10" width="4.8515625" style="3" customWidth="1"/>
    <col min="11" max="11" width="7.8515625" style="1" customWidth="1"/>
    <col min="12" max="12" width="8.57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167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154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5" spans="1:12" ht="15">
      <c r="A5" s="41" t="s">
        <v>124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12" t="s">
        <v>168</v>
      </c>
      <c r="B6" s="12" t="s">
        <v>169</v>
      </c>
      <c r="C6" s="12" t="s">
        <v>170</v>
      </c>
      <c r="D6" s="12" t="str">
        <f>"0,9708"</f>
        <v>0,9708</v>
      </c>
      <c r="E6" s="12" t="s">
        <v>171</v>
      </c>
      <c r="F6" s="12" t="s">
        <v>102</v>
      </c>
      <c r="G6" s="13" t="s">
        <v>84</v>
      </c>
      <c r="H6" s="14" t="s">
        <v>117</v>
      </c>
      <c r="I6" s="14" t="s">
        <v>117</v>
      </c>
      <c r="J6" s="14"/>
      <c r="K6" s="12" t="str">
        <f>"100,0"</f>
        <v>100,0</v>
      </c>
      <c r="L6" s="13" t="str">
        <f>"97,0850"</f>
        <v>97,0850</v>
      </c>
      <c r="M6" s="12" t="s">
        <v>52</v>
      </c>
    </row>
    <row r="8" spans="1:12" ht="15">
      <c r="A8" s="42" t="s">
        <v>40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 ht="12.75">
      <c r="A9" s="12" t="s">
        <v>172</v>
      </c>
      <c r="B9" s="12" t="s">
        <v>173</v>
      </c>
      <c r="C9" s="12" t="s">
        <v>174</v>
      </c>
      <c r="D9" s="12" t="str">
        <f>"0,6257"</f>
        <v>0,6257</v>
      </c>
      <c r="E9" s="12" t="s">
        <v>44</v>
      </c>
      <c r="F9" s="12" t="s">
        <v>175</v>
      </c>
      <c r="G9" s="13" t="s">
        <v>176</v>
      </c>
      <c r="H9" s="13" t="s">
        <v>177</v>
      </c>
      <c r="I9" s="14" t="s">
        <v>178</v>
      </c>
      <c r="J9" s="14"/>
      <c r="K9" s="12" t="str">
        <f>"217,5"</f>
        <v>217,5</v>
      </c>
      <c r="L9" s="13" t="str">
        <f>"140,1724"</f>
        <v>140,1724</v>
      </c>
      <c r="M9" s="12" t="s">
        <v>52</v>
      </c>
    </row>
    <row r="11" spans="1:12" ht="15">
      <c r="A11" s="42" t="s">
        <v>97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3" ht="12.75">
      <c r="A12" s="12" t="s">
        <v>179</v>
      </c>
      <c r="B12" s="12" t="s">
        <v>180</v>
      </c>
      <c r="C12" s="12" t="s">
        <v>181</v>
      </c>
      <c r="D12" s="12" t="str">
        <f>"0,5978"</f>
        <v>0,5978</v>
      </c>
      <c r="E12" s="12" t="s">
        <v>44</v>
      </c>
      <c r="F12" s="12" t="s">
        <v>102</v>
      </c>
      <c r="G12" s="13" t="s">
        <v>182</v>
      </c>
      <c r="H12" s="13" t="s">
        <v>183</v>
      </c>
      <c r="I12" s="13" t="s">
        <v>184</v>
      </c>
      <c r="J12" s="14"/>
      <c r="K12" s="12" t="str">
        <f>"140,0"</f>
        <v>140,0</v>
      </c>
      <c r="L12" s="13" t="str">
        <f>"119,6796"</f>
        <v>119,6796</v>
      </c>
      <c r="M12" s="12" t="s">
        <v>52</v>
      </c>
    </row>
    <row r="14" spans="1:12" ht="15">
      <c r="A14" s="42" t="s">
        <v>105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3" ht="12.75">
      <c r="A15" s="12" t="s">
        <v>185</v>
      </c>
      <c r="B15" s="12" t="s">
        <v>186</v>
      </c>
      <c r="C15" s="12" t="s">
        <v>187</v>
      </c>
      <c r="D15" s="12" t="str">
        <f>"0,5388"</f>
        <v>0,5388</v>
      </c>
      <c r="E15" s="12" t="s">
        <v>44</v>
      </c>
      <c r="F15" s="12" t="s">
        <v>188</v>
      </c>
      <c r="G15" s="13" t="s">
        <v>189</v>
      </c>
      <c r="H15" s="13" t="s">
        <v>190</v>
      </c>
      <c r="I15" s="14" t="s">
        <v>191</v>
      </c>
      <c r="J15" s="14"/>
      <c r="K15" s="12" t="str">
        <f>"255,0"</f>
        <v>255,0</v>
      </c>
      <c r="L15" s="13" t="str">
        <f>"137,3940"</f>
        <v>137,3940</v>
      </c>
      <c r="M15" s="12" t="s">
        <v>52</v>
      </c>
    </row>
    <row r="17" ht="15">
      <c r="E17" s="10" t="s">
        <v>18</v>
      </c>
    </row>
    <row r="18" ht="15">
      <c r="E18" s="10" t="s">
        <v>19</v>
      </c>
    </row>
    <row r="19" ht="15">
      <c r="E19" s="10" t="s">
        <v>20</v>
      </c>
    </row>
    <row r="20" ht="15">
      <c r="E20" s="10" t="s">
        <v>21</v>
      </c>
    </row>
    <row r="21" ht="15">
      <c r="E21" s="10" t="s">
        <v>21</v>
      </c>
    </row>
    <row r="22" ht="15">
      <c r="E22" s="10" t="s">
        <v>22</v>
      </c>
    </row>
    <row r="23" ht="15">
      <c r="E23" s="10"/>
    </row>
    <row r="25" spans="1:2" ht="18">
      <c r="A25" s="11" t="s">
        <v>23</v>
      </c>
      <c r="B25" s="11"/>
    </row>
    <row r="26" spans="1:2" ht="15">
      <c r="A26" s="15" t="s">
        <v>139</v>
      </c>
      <c r="B26" s="15"/>
    </row>
    <row r="27" spans="1:2" ht="14.25">
      <c r="A27" s="16"/>
      <c r="B27" s="17" t="s">
        <v>192</v>
      </c>
    </row>
    <row r="28" spans="1:5" ht="15">
      <c r="A28" s="18" t="s">
        <v>55</v>
      </c>
      <c r="B28" s="18" t="s">
        <v>56</v>
      </c>
      <c r="C28" s="18" t="s">
        <v>57</v>
      </c>
      <c r="D28" s="18" t="s">
        <v>58</v>
      </c>
      <c r="E28" s="18" t="s">
        <v>59</v>
      </c>
    </row>
    <row r="29" spans="1:5" ht="12.75">
      <c r="A29" s="19" t="s">
        <v>193</v>
      </c>
      <c r="B29" s="1" t="s">
        <v>194</v>
      </c>
      <c r="C29" s="1" t="s">
        <v>141</v>
      </c>
      <c r="D29" s="1" t="s">
        <v>84</v>
      </c>
      <c r="E29" s="20" t="s">
        <v>195</v>
      </c>
    </row>
    <row r="32" spans="1:2" ht="15">
      <c r="A32" s="15" t="s">
        <v>53</v>
      </c>
      <c r="B32" s="15"/>
    </row>
    <row r="33" spans="1:2" ht="14.25">
      <c r="A33" s="16"/>
      <c r="B33" s="17" t="s">
        <v>196</v>
      </c>
    </row>
    <row r="34" spans="1:5" ht="15">
      <c r="A34" s="18" t="s">
        <v>55</v>
      </c>
      <c r="B34" s="18" t="s">
        <v>56</v>
      </c>
      <c r="C34" s="18" t="s">
        <v>57</v>
      </c>
      <c r="D34" s="18" t="s">
        <v>58</v>
      </c>
      <c r="E34" s="18" t="s">
        <v>59</v>
      </c>
    </row>
    <row r="35" spans="1:5" ht="12.75">
      <c r="A35" s="19" t="s">
        <v>197</v>
      </c>
      <c r="B35" s="1" t="s">
        <v>194</v>
      </c>
      <c r="C35" s="1" t="s">
        <v>61</v>
      </c>
      <c r="D35" s="1" t="s">
        <v>177</v>
      </c>
      <c r="E35" s="20" t="s">
        <v>198</v>
      </c>
    </row>
    <row r="37" spans="1:2" ht="14.25">
      <c r="A37" s="16"/>
      <c r="B37" s="17" t="s">
        <v>54</v>
      </c>
    </row>
    <row r="38" spans="1:5" ht="15">
      <c r="A38" s="18" t="s">
        <v>55</v>
      </c>
      <c r="B38" s="18" t="s">
        <v>56</v>
      </c>
      <c r="C38" s="18" t="s">
        <v>57</v>
      </c>
      <c r="D38" s="18" t="s">
        <v>58</v>
      </c>
      <c r="E38" s="18" t="s">
        <v>59</v>
      </c>
    </row>
    <row r="39" spans="1:5" ht="12.75">
      <c r="A39" s="19" t="s">
        <v>199</v>
      </c>
      <c r="B39" s="1" t="s">
        <v>54</v>
      </c>
      <c r="C39" s="1" t="s">
        <v>117</v>
      </c>
      <c r="D39" s="1" t="s">
        <v>190</v>
      </c>
      <c r="E39" s="20" t="s">
        <v>200</v>
      </c>
    </row>
    <row r="41" spans="1:2" ht="14.25">
      <c r="A41" s="16"/>
      <c r="B41" s="17" t="s">
        <v>90</v>
      </c>
    </row>
    <row r="42" spans="1:5" ht="15">
      <c r="A42" s="18" t="s">
        <v>55</v>
      </c>
      <c r="B42" s="18" t="s">
        <v>56</v>
      </c>
      <c r="C42" s="18" t="s">
        <v>57</v>
      </c>
      <c r="D42" s="18" t="s">
        <v>58</v>
      </c>
      <c r="E42" s="18" t="s">
        <v>59</v>
      </c>
    </row>
    <row r="43" spans="1:5" ht="12.75">
      <c r="A43" s="19" t="s">
        <v>201</v>
      </c>
      <c r="B43" s="1" t="s">
        <v>202</v>
      </c>
      <c r="C43" s="1" t="s">
        <v>103</v>
      </c>
      <c r="D43" s="1" t="s">
        <v>203</v>
      </c>
      <c r="E43" s="20" t="s">
        <v>204</v>
      </c>
    </row>
  </sheetData>
  <sheetProtection selectLockedCells="1" selectUnlockedCells="1"/>
  <mergeCells count="15">
    <mergeCell ref="M3:M4"/>
    <mergeCell ref="A5:L5"/>
    <mergeCell ref="A8:L8"/>
    <mergeCell ref="A11:L11"/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8.57421875" style="1" customWidth="1"/>
    <col min="3" max="3" width="10.57421875" style="1" customWidth="1"/>
    <col min="4" max="4" width="9.28125" style="1" customWidth="1"/>
    <col min="5" max="5" width="22.7109375" style="1" customWidth="1"/>
    <col min="6" max="6" width="17.28125" style="1" customWidth="1"/>
    <col min="7" max="7" width="5.57421875" style="3" customWidth="1"/>
    <col min="8" max="9" width="6.57421875" style="3" customWidth="1"/>
    <col min="10" max="10" width="4.8515625" style="3" customWidth="1"/>
    <col min="11" max="11" width="7.8515625" style="1" customWidth="1"/>
    <col min="12" max="12" width="8.57421875" style="3" customWidth="1"/>
    <col min="13" max="13" width="11.28125" style="1" customWidth="1"/>
    <col min="14" max="16384" width="9.140625" style="3" customWidth="1"/>
  </cols>
  <sheetData>
    <row r="1" spans="1:13" s="5" customFormat="1" ht="28.5" customHeight="1">
      <c r="A1" s="40" t="s">
        <v>205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154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5" spans="1:12" ht="15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12" t="s">
        <v>206</v>
      </c>
      <c r="B6" s="12" t="s">
        <v>207</v>
      </c>
      <c r="C6" s="12" t="s">
        <v>208</v>
      </c>
      <c r="D6" s="12" t="str">
        <f>"0,6224"</f>
        <v>0,6224</v>
      </c>
      <c r="E6" s="12" t="s">
        <v>209</v>
      </c>
      <c r="F6" s="12" t="s">
        <v>210</v>
      </c>
      <c r="G6" s="13" t="s">
        <v>211</v>
      </c>
      <c r="H6" s="13" t="s">
        <v>212</v>
      </c>
      <c r="I6" s="13" t="s">
        <v>213</v>
      </c>
      <c r="J6" s="14"/>
      <c r="K6" s="12" t="str">
        <f>"185,0"</f>
        <v>185,0</v>
      </c>
      <c r="L6" s="13" t="str">
        <f>"195,7448"</f>
        <v>195,7448</v>
      </c>
      <c r="M6" s="12" t="s">
        <v>214</v>
      </c>
    </row>
    <row r="8" ht="15">
      <c r="E8" s="10" t="s">
        <v>18</v>
      </c>
    </row>
    <row r="9" ht="15">
      <c r="E9" s="10" t="s">
        <v>19</v>
      </c>
    </row>
    <row r="10" ht="15">
      <c r="E10" s="10" t="s">
        <v>20</v>
      </c>
    </row>
    <row r="11" ht="15">
      <c r="E11" s="10" t="s">
        <v>21</v>
      </c>
    </row>
    <row r="12" ht="15">
      <c r="E12" s="10" t="s">
        <v>21</v>
      </c>
    </row>
    <row r="13" ht="15">
      <c r="E13" s="10" t="s">
        <v>22</v>
      </c>
    </row>
    <row r="14" ht="15">
      <c r="E14" s="10"/>
    </row>
    <row r="16" spans="1:2" ht="18">
      <c r="A16" s="11" t="s">
        <v>23</v>
      </c>
      <c r="B16" s="11"/>
    </row>
    <row r="17" spans="1:2" ht="15">
      <c r="A17" s="15" t="s">
        <v>53</v>
      </c>
      <c r="B17" s="15"/>
    </row>
    <row r="18" spans="1:2" ht="14.25">
      <c r="A18" s="16"/>
      <c r="B18" s="17" t="s">
        <v>90</v>
      </c>
    </row>
    <row r="19" spans="1:5" ht="15">
      <c r="A19" s="18" t="s">
        <v>55</v>
      </c>
      <c r="B19" s="18" t="s">
        <v>56</v>
      </c>
      <c r="C19" s="18" t="s">
        <v>57</v>
      </c>
      <c r="D19" s="18" t="s">
        <v>58</v>
      </c>
      <c r="E19" s="18" t="s">
        <v>59</v>
      </c>
    </row>
    <row r="20" spans="1:5" ht="12.75">
      <c r="A20" s="19" t="s">
        <v>215</v>
      </c>
      <c r="B20" s="1" t="s">
        <v>92</v>
      </c>
      <c r="C20" s="1" t="s">
        <v>61</v>
      </c>
      <c r="D20" s="1" t="s">
        <v>216</v>
      </c>
      <c r="E20" s="20" t="s">
        <v>217</v>
      </c>
    </row>
  </sheetData>
  <sheetProtection selectLockedCells="1" selectUnlockedCells="1"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218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8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219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8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220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8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10.57421875" style="1" customWidth="1"/>
    <col min="4" max="4" width="9.28125" style="1" customWidth="1"/>
    <col min="5" max="5" width="22.7109375" style="1" customWidth="1"/>
    <col min="6" max="6" width="38.140625" style="1" customWidth="1"/>
    <col min="7" max="9" width="5.57421875" style="3" customWidth="1"/>
    <col min="10" max="10" width="4.8515625" style="3" customWidth="1"/>
    <col min="11" max="11" width="7.8515625" style="1" customWidth="1"/>
    <col min="12" max="12" width="8.57421875" style="3" customWidth="1"/>
    <col min="13" max="13" width="9.28125" style="1" customWidth="1"/>
    <col min="14" max="16384" width="9.140625" style="3" customWidth="1"/>
  </cols>
  <sheetData>
    <row r="1" spans="1:13" s="5" customFormat="1" ht="28.5" customHeight="1">
      <c r="A1" s="40" t="s">
        <v>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222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5" spans="1:12" ht="15">
      <c r="A5" s="41" t="s">
        <v>130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12" t="s">
        <v>223</v>
      </c>
      <c r="B6" s="12" t="s">
        <v>224</v>
      </c>
      <c r="C6" s="12" t="s">
        <v>225</v>
      </c>
      <c r="D6" s="12" t="str">
        <f>"0,5296"</f>
        <v>0,5296</v>
      </c>
      <c r="E6" s="12" t="s">
        <v>226</v>
      </c>
      <c r="F6" s="12" t="s">
        <v>227</v>
      </c>
      <c r="G6" s="13" t="s">
        <v>228</v>
      </c>
      <c r="H6" s="13" t="s">
        <v>229</v>
      </c>
      <c r="I6" s="14"/>
      <c r="J6" s="14"/>
      <c r="K6" s="12" t="str">
        <f>"350,0"</f>
        <v>350,0</v>
      </c>
      <c r="L6" s="13" t="str">
        <f>"185,3600"</f>
        <v>185,3600</v>
      </c>
      <c r="M6" s="12" t="s">
        <v>52</v>
      </c>
    </row>
    <row r="8" spans="1:12" ht="15">
      <c r="A8" s="42" t="s">
        <v>230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 ht="12.75">
      <c r="A9" s="12" t="s">
        <v>231</v>
      </c>
      <c r="B9" s="12" t="s">
        <v>232</v>
      </c>
      <c r="C9" s="12" t="s">
        <v>233</v>
      </c>
      <c r="D9" s="12" t="str">
        <f>"0,4940"</f>
        <v>0,4940</v>
      </c>
      <c r="E9" s="12" t="s">
        <v>171</v>
      </c>
      <c r="F9" s="12" t="s">
        <v>234</v>
      </c>
      <c r="G9" s="14" t="s">
        <v>229</v>
      </c>
      <c r="H9" s="13" t="s">
        <v>229</v>
      </c>
      <c r="I9" s="14" t="s">
        <v>235</v>
      </c>
      <c r="J9" s="14"/>
      <c r="K9" s="12" t="str">
        <f>"350,0"</f>
        <v>350,0</v>
      </c>
      <c r="L9" s="13" t="str">
        <f>"172,9000"</f>
        <v>172,9000</v>
      </c>
      <c r="M9" s="12" t="s">
        <v>236</v>
      </c>
    </row>
    <row r="11" ht="15">
      <c r="E11" s="10" t="s">
        <v>18</v>
      </c>
    </row>
    <row r="12" ht="15">
      <c r="E12" s="10" t="s">
        <v>19</v>
      </c>
    </row>
    <row r="13" ht="15">
      <c r="E13" s="10" t="s">
        <v>20</v>
      </c>
    </row>
    <row r="14" ht="15">
      <c r="E14" s="10" t="s">
        <v>21</v>
      </c>
    </row>
    <row r="15" ht="15">
      <c r="E15" s="10" t="s">
        <v>21</v>
      </c>
    </row>
    <row r="16" ht="15">
      <c r="E16" s="10" t="s">
        <v>22</v>
      </c>
    </row>
    <row r="17" ht="15">
      <c r="E17" s="10"/>
    </row>
    <row r="19" spans="1:2" ht="18">
      <c r="A19" s="11" t="s">
        <v>23</v>
      </c>
      <c r="B19" s="11"/>
    </row>
    <row r="20" spans="1:2" ht="15">
      <c r="A20" s="15" t="s">
        <v>53</v>
      </c>
      <c r="B20" s="15"/>
    </row>
    <row r="21" spans="1:2" ht="14.25">
      <c r="A21" s="16"/>
      <c r="B21" s="17" t="s">
        <v>54</v>
      </c>
    </row>
    <row r="22" spans="1:5" ht="15">
      <c r="A22" s="18" t="s">
        <v>55</v>
      </c>
      <c r="B22" s="18" t="s">
        <v>56</v>
      </c>
      <c r="C22" s="18" t="s">
        <v>57</v>
      </c>
      <c r="D22" s="18" t="s">
        <v>58</v>
      </c>
      <c r="E22" s="18" t="s">
        <v>59</v>
      </c>
    </row>
    <row r="23" spans="1:5" ht="12.75">
      <c r="A23" s="19" t="s">
        <v>237</v>
      </c>
      <c r="B23" s="1" t="s">
        <v>54</v>
      </c>
      <c r="C23" s="1" t="s">
        <v>144</v>
      </c>
      <c r="D23" s="1" t="s">
        <v>229</v>
      </c>
      <c r="E23" s="20" t="s">
        <v>238</v>
      </c>
    </row>
    <row r="24" spans="1:5" ht="12.75">
      <c r="A24" s="19" t="s">
        <v>239</v>
      </c>
      <c r="B24" s="1" t="s">
        <v>54</v>
      </c>
      <c r="C24" s="1" t="s">
        <v>240</v>
      </c>
      <c r="D24" s="1" t="s">
        <v>229</v>
      </c>
      <c r="E24" s="20" t="s">
        <v>241</v>
      </c>
    </row>
  </sheetData>
  <sheetProtection selectLockedCells="1" selectUnlockedCells="1"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10.57421875" style="1" customWidth="1"/>
    <col min="4" max="4" width="9.28125" style="1" customWidth="1"/>
    <col min="5" max="5" width="22.7109375" style="1" customWidth="1"/>
    <col min="6" max="6" width="29.7109375" style="1" customWidth="1"/>
    <col min="7" max="7" width="6.57421875" style="3" customWidth="1"/>
    <col min="8" max="9" width="5.57421875" style="3" customWidth="1"/>
    <col min="10" max="10" width="4.8515625" style="3" customWidth="1"/>
    <col min="11" max="11" width="7.8515625" style="1" customWidth="1"/>
    <col min="12" max="12" width="8.57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242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222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5" spans="1:12" ht="15">
      <c r="A5" s="41" t="s">
        <v>130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12" t="s">
        <v>243</v>
      </c>
      <c r="B6" s="12" t="s">
        <v>244</v>
      </c>
      <c r="C6" s="12" t="s">
        <v>245</v>
      </c>
      <c r="D6" s="12" t="str">
        <f>"0,5261"</f>
        <v>0,5261</v>
      </c>
      <c r="E6" s="12" t="s">
        <v>44</v>
      </c>
      <c r="F6" s="12" t="s">
        <v>102</v>
      </c>
      <c r="G6" s="13" t="s">
        <v>246</v>
      </c>
      <c r="H6" s="14" t="s">
        <v>189</v>
      </c>
      <c r="I6" s="14" t="s">
        <v>165</v>
      </c>
      <c r="J6" s="14"/>
      <c r="K6" s="12" t="str">
        <f>"230,0"</f>
        <v>230,0</v>
      </c>
      <c r="L6" s="13" t="str">
        <f>"121,0030"</f>
        <v>121,0030</v>
      </c>
      <c r="M6" s="12" t="s">
        <v>52</v>
      </c>
    </row>
    <row r="8" ht="15">
      <c r="E8" s="10" t="s">
        <v>18</v>
      </c>
    </row>
    <row r="9" ht="15">
      <c r="E9" s="10" t="s">
        <v>19</v>
      </c>
    </row>
    <row r="10" ht="15">
      <c r="E10" s="10" t="s">
        <v>20</v>
      </c>
    </row>
    <row r="11" ht="15">
      <c r="E11" s="10" t="s">
        <v>21</v>
      </c>
    </row>
    <row r="12" ht="15">
      <c r="E12" s="10" t="s">
        <v>21</v>
      </c>
    </row>
    <row r="13" ht="15">
      <c r="E13" s="10" t="s">
        <v>22</v>
      </c>
    </row>
    <row r="14" ht="15">
      <c r="E14" s="10"/>
    </row>
    <row r="16" spans="1:2" ht="18">
      <c r="A16" s="11" t="s">
        <v>23</v>
      </c>
      <c r="B16" s="11"/>
    </row>
    <row r="17" spans="1:2" ht="15">
      <c r="A17" s="15" t="s">
        <v>53</v>
      </c>
      <c r="B17" s="15"/>
    </row>
    <row r="18" spans="1:2" ht="14.25">
      <c r="A18" s="16"/>
      <c r="B18" s="17" t="s">
        <v>54</v>
      </c>
    </row>
    <row r="19" spans="1:5" ht="15">
      <c r="A19" s="18" t="s">
        <v>55</v>
      </c>
      <c r="B19" s="18" t="s">
        <v>56</v>
      </c>
      <c r="C19" s="18" t="s">
        <v>57</v>
      </c>
      <c r="D19" s="18" t="s">
        <v>58</v>
      </c>
      <c r="E19" s="18" t="s">
        <v>59</v>
      </c>
    </row>
    <row r="20" spans="1:5" ht="12.75">
      <c r="A20" s="19" t="s">
        <v>247</v>
      </c>
      <c r="B20" s="1" t="s">
        <v>54</v>
      </c>
      <c r="C20" s="1" t="s">
        <v>144</v>
      </c>
      <c r="D20" s="1" t="s">
        <v>248</v>
      </c>
      <c r="E20" s="20" t="s">
        <v>249</v>
      </c>
    </row>
  </sheetData>
  <sheetProtection selectLockedCells="1" selectUnlockedCells="1"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8.57421875" style="1" customWidth="1"/>
    <col min="3" max="3" width="10.57421875" style="1" customWidth="1"/>
    <col min="4" max="4" width="9.28125" style="1" customWidth="1"/>
    <col min="5" max="5" width="22.7109375" style="1" customWidth="1"/>
    <col min="6" max="6" width="33.421875" style="1" customWidth="1"/>
    <col min="7" max="9" width="5.57421875" style="3" customWidth="1"/>
    <col min="10" max="10" width="4.8515625" style="3" customWidth="1"/>
    <col min="11" max="11" width="7.8515625" style="1" customWidth="1"/>
    <col min="12" max="12" width="8.57421875" style="3" customWidth="1"/>
    <col min="13" max="13" width="26.8515625" style="1" customWidth="1"/>
    <col min="14" max="16384" width="9.140625" style="3" customWidth="1"/>
  </cols>
  <sheetData>
    <row r="1" spans="1:13" s="5" customFormat="1" ht="28.5" customHeight="1">
      <c r="A1" s="40" t="s">
        <v>250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222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5" spans="1:12" ht="15">
      <c r="A5" s="41" t="s">
        <v>251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12" t="s">
        <v>252</v>
      </c>
      <c r="B6" s="12" t="s">
        <v>253</v>
      </c>
      <c r="C6" s="12" t="s">
        <v>254</v>
      </c>
      <c r="D6" s="12" t="str">
        <f>"0,6898"</f>
        <v>0,6898</v>
      </c>
      <c r="E6" s="12" t="s">
        <v>255</v>
      </c>
      <c r="F6" s="12" t="s">
        <v>256</v>
      </c>
      <c r="G6" s="13" t="s">
        <v>203</v>
      </c>
      <c r="H6" s="13" t="s">
        <v>257</v>
      </c>
      <c r="I6" s="13" t="s">
        <v>258</v>
      </c>
      <c r="J6" s="14"/>
      <c r="K6" s="12" t="str">
        <f>"162,5"</f>
        <v>162,5</v>
      </c>
      <c r="L6" s="13" t="str">
        <f>"172,0620"</f>
        <v>172,0620</v>
      </c>
      <c r="M6" s="12" t="s">
        <v>259</v>
      </c>
    </row>
    <row r="8" spans="1:12" ht="15">
      <c r="A8" s="42" t="s">
        <v>72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 ht="12.75">
      <c r="A9" s="21" t="s">
        <v>260</v>
      </c>
      <c r="B9" s="21" t="s">
        <v>261</v>
      </c>
      <c r="C9" s="21" t="s">
        <v>262</v>
      </c>
      <c r="D9" s="21" t="str">
        <f>"0,5543"</f>
        <v>0,5543</v>
      </c>
      <c r="E9" s="21" t="s">
        <v>44</v>
      </c>
      <c r="F9" s="21" t="s">
        <v>263</v>
      </c>
      <c r="G9" s="22" t="s">
        <v>161</v>
      </c>
      <c r="H9" s="22" t="s">
        <v>264</v>
      </c>
      <c r="I9" s="28" t="s">
        <v>265</v>
      </c>
      <c r="J9" s="28"/>
      <c r="K9" s="21" t="str">
        <f>"325,0"</f>
        <v>325,0</v>
      </c>
      <c r="L9" s="22" t="str">
        <f>"180,1475"</f>
        <v>180,1475</v>
      </c>
      <c r="M9" s="21" t="s">
        <v>266</v>
      </c>
    </row>
    <row r="10" spans="1:13" ht="12.75">
      <c r="A10" s="24" t="s">
        <v>267</v>
      </c>
      <c r="B10" s="24" t="s">
        <v>268</v>
      </c>
      <c r="C10" s="24" t="s">
        <v>269</v>
      </c>
      <c r="D10" s="24" t="str">
        <f>"0,5616"</f>
        <v>0,5616</v>
      </c>
      <c r="E10" s="24" t="s">
        <v>270</v>
      </c>
      <c r="F10" s="24" t="s">
        <v>271</v>
      </c>
      <c r="G10" s="25" t="s">
        <v>272</v>
      </c>
      <c r="H10" s="29" t="s">
        <v>136</v>
      </c>
      <c r="I10" s="29" t="s">
        <v>136</v>
      </c>
      <c r="J10" s="29"/>
      <c r="K10" s="24" t="str">
        <f>"275,0"</f>
        <v>275,0</v>
      </c>
      <c r="L10" s="25" t="str">
        <f>"154,4400"</f>
        <v>154,4400</v>
      </c>
      <c r="M10" s="24" t="s">
        <v>52</v>
      </c>
    </row>
    <row r="12" ht="15">
      <c r="E12" s="10" t="s">
        <v>18</v>
      </c>
    </row>
    <row r="13" ht="15">
      <c r="E13" s="10" t="s">
        <v>19</v>
      </c>
    </row>
    <row r="14" ht="15">
      <c r="E14" s="10" t="s">
        <v>20</v>
      </c>
    </row>
    <row r="15" ht="15">
      <c r="E15" s="10" t="s">
        <v>21</v>
      </c>
    </row>
    <row r="16" ht="15">
      <c r="E16" s="10" t="s">
        <v>21</v>
      </c>
    </row>
    <row r="17" ht="15">
      <c r="E17" s="10" t="s">
        <v>22</v>
      </c>
    </row>
    <row r="18" ht="15">
      <c r="E18" s="10"/>
    </row>
    <row r="20" spans="1:2" ht="18">
      <c r="A20" s="11" t="s">
        <v>23</v>
      </c>
      <c r="B20" s="11"/>
    </row>
    <row r="21" spans="1:2" ht="15">
      <c r="A21" s="15" t="s">
        <v>53</v>
      </c>
      <c r="B21" s="15"/>
    </row>
    <row r="22" spans="1:2" ht="14.25">
      <c r="A22" s="16"/>
      <c r="B22" s="17" t="s">
        <v>54</v>
      </c>
    </row>
    <row r="23" spans="1:5" ht="15">
      <c r="A23" s="18" t="s">
        <v>55</v>
      </c>
      <c r="B23" s="18" t="s">
        <v>56</v>
      </c>
      <c r="C23" s="18" t="s">
        <v>57</v>
      </c>
      <c r="D23" s="18" t="s">
        <v>58</v>
      </c>
      <c r="E23" s="18" t="s">
        <v>59</v>
      </c>
    </row>
    <row r="24" spans="1:5" ht="12.75">
      <c r="A24" s="19" t="s">
        <v>273</v>
      </c>
      <c r="B24" s="1" t="s">
        <v>54</v>
      </c>
      <c r="C24" s="1" t="s">
        <v>84</v>
      </c>
      <c r="D24" s="1" t="s">
        <v>264</v>
      </c>
      <c r="E24" s="20" t="s">
        <v>274</v>
      </c>
    </row>
    <row r="25" spans="1:5" ht="12.75">
      <c r="A25" s="19" t="s">
        <v>275</v>
      </c>
      <c r="B25" s="1" t="s">
        <v>54</v>
      </c>
      <c r="C25" s="1" t="s">
        <v>84</v>
      </c>
      <c r="D25" s="1" t="s">
        <v>272</v>
      </c>
      <c r="E25" s="20" t="s">
        <v>276</v>
      </c>
    </row>
    <row r="27" spans="1:2" ht="14.25">
      <c r="A27" s="16"/>
      <c r="B27" s="17" t="s">
        <v>90</v>
      </c>
    </row>
    <row r="28" spans="1:5" ht="15">
      <c r="A28" s="18" t="s">
        <v>55</v>
      </c>
      <c r="B28" s="18" t="s">
        <v>56</v>
      </c>
      <c r="C28" s="18" t="s">
        <v>57</v>
      </c>
      <c r="D28" s="18" t="s">
        <v>58</v>
      </c>
      <c r="E28" s="18" t="s">
        <v>59</v>
      </c>
    </row>
    <row r="29" spans="1:5" ht="12.75">
      <c r="A29" s="19" t="s">
        <v>277</v>
      </c>
      <c r="B29" s="1" t="s">
        <v>202</v>
      </c>
      <c r="C29" s="1" t="s">
        <v>46</v>
      </c>
      <c r="D29" s="1" t="s">
        <v>258</v>
      </c>
      <c r="E29" s="20" t="s">
        <v>278</v>
      </c>
    </row>
  </sheetData>
  <sheetProtection selectLockedCells="1" selectUnlockedCells="1"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8.57421875" style="1" customWidth="1"/>
    <col min="3" max="3" width="10.57421875" style="1" customWidth="1"/>
    <col min="4" max="4" width="9.28125" style="1" customWidth="1"/>
    <col min="5" max="5" width="22.7109375" style="1" customWidth="1"/>
    <col min="6" max="6" width="38.140625" style="1" customWidth="1"/>
    <col min="7" max="9" width="6.57421875" style="3" customWidth="1"/>
    <col min="10" max="10" width="4.8515625" style="3" customWidth="1"/>
    <col min="11" max="11" width="7.8515625" style="1" customWidth="1"/>
    <col min="12" max="12" width="8.57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279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222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5" spans="1:12" ht="15">
      <c r="A5" s="41" t="s">
        <v>97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21" t="s">
        <v>280</v>
      </c>
      <c r="B6" s="21" t="s">
        <v>281</v>
      </c>
      <c r="C6" s="21" t="s">
        <v>282</v>
      </c>
      <c r="D6" s="21" t="str">
        <f>"0,5853"</f>
        <v>0,5853</v>
      </c>
      <c r="E6" s="21" t="s">
        <v>283</v>
      </c>
      <c r="F6" s="21" t="s">
        <v>102</v>
      </c>
      <c r="G6" s="22" t="s">
        <v>284</v>
      </c>
      <c r="H6" s="22" t="s">
        <v>285</v>
      </c>
      <c r="I6" s="28" t="s">
        <v>216</v>
      </c>
      <c r="J6" s="28"/>
      <c r="K6" s="21" t="str">
        <f>"182,5"</f>
        <v>182,5</v>
      </c>
      <c r="L6" s="22" t="str">
        <f>"106,8173"</f>
        <v>106,8173</v>
      </c>
      <c r="M6" s="21" t="s">
        <v>52</v>
      </c>
    </row>
    <row r="7" spans="1:13" ht="12.75">
      <c r="A7" s="24" t="s">
        <v>286</v>
      </c>
      <c r="B7" s="24" t="s">
        <v>287</v>
      </c>
      <c r="C7" s="24" t="s">
        <v>288</v>
      </c>
      <c r="D7" s="24" t="str">
        <f>"0,5956"</f>
        <v>0,5956</v>
      </c>
      <c r="E7" s="24" t="s">
        <v>44</v>
      </c>
      <c r="F7" s="24" t="s">
        <v>102</v>
      </c>
      <c r="G7" s="25" t="s">
        <v>117</v>
      </c>
      <c r="H7" s="29" t="s">
        <v>289</v>
      </c>
      <c r="I7" s="29" t="s">
        <v>289</v>
      </c>
      <c r="J7" s="29"/>
      <c r="K7" s="24" t="str">
        <f>"110,0"</f>
        <v>110,0</v>
      </c>
      <c r="L7" s="25" t="str">
        <f>"65,5160"</f>
        <v>65,5160</v>
      </c>
      <c r="M7" s="24" t="s">
        <v>52</v>
      </c>
    </row>
    <row r="9" spans="1:12" ht="15">
      <c r="A9" s="42" t="s">
        <v>72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3" ht="12.75">
      <c r="A10" s="21" t="s">
        <v>290</v>
      </c>
      <c r="B10" s="21" t="s">
        <v>291</v>
      </c>
      <c r="C10" s="21" t="s">
        <v>292</v>
      </c>
      <c r="D10" s="21" t="str">
        <f>"0,5744"</f>
        <v>0,5744</v>
      </c>
      <c r="E10" s="21" t="s">
        <v>44</v>
      </c>
      <c r="F10" s="21" t="s">
        <v>109</v>
      </c>
      <c r="G10" s="22" t="s">
        <v>203</v>
      </c>
      <c r="H10" s="28" t="s">
        <v>257</v>
      </c>
      <c r="I10" s="28"/>
      <c r="J10" s="28"/>
      <c r="K10" s="21" t="str">
        <f>"140,0"</f>
        <v>140,0</v>
      </c>
      <c r="L10" s="22" t="str">
        <f>"81,2202"</f>
        <v>81,2202</v>
      </c>
      <c r="M10" s="21" t="s">
        <v>52</v>
      </c>
    </row>
    <row r="11" spans="1:13" ht="12.75">
      <c r="A11" s="30" t="s">
        <v>73</v>
      </c>
      <c r="B11" s="30" t="s">
        <v>74</v>
      </c>
      <c r="C11" s="30" t="s">
        <v>75</v>
      </c>
      <c r="D11" s="30" t="str">
        <f>"0,5610"</f>
        <v>0,5610</v>
      </c>
      <c r="E11" s="30" t="s">
        <v>44</v>
      </c>
      <c r="F11" s="30" t="s">
        <v>76</v>
      </c>
      <c r="G11" s="31" t="s">
        <v>293</v>
      </c>
      <c r="H11" s="32" t="s">
        <v>294</v>
      </c>
      <c r="I11" s="31" t="s">
        <v>295</v>
      </c>
      <c r="J11" s="31"/>
      <c r="K11" s="30" t="str">
        <f>"200,0"</f>
        <v>200,0</v>
      </c>
      <c r="L11" s="32" t="str">
        <f>"112,2000"</f>
        <v>112,2000</v>
      </c>
      <c r="M11" s="30" t="s">
        <v>52</v>
      </c>
    </row>
    <row r="12" spans="1:13" ht="12.75">
      <c r="A12" s="30" t="s">
        <v>296</v>
      </c>
      <c r="B12" s="30" t="s">
        <v>297</v>
      </c>
      <c r="C12" s="30" t="s">
        <v>298</v>
      </c>
      <c r="D12" s="30" t="str">
        <f>"0,5597"</f>
        <v>0,5597</v>
      </c>
      <c r="E12" s="30" t="s">
        <v>44</v>
      </c>
      <c r="F12" s="30" t="s">
        <v>227</v>
      </c>
      <c r="G12" s="32" t="s">
        <v>211</v>
      </c>
      <c r="H12" s="31" t="s">
        <v>299</v>
      </c>
      <c r="I12" s="31" t="s">
        <v>299</v>
      </c>
      <c r="J12" s="31"/>
      <c r="K12" s="30" t="str">
        <f>"160,0"</f>
        <v>160,0</v>
      </c>
      <c r="L12" s="32" t="str">
        <f>"89,5520"</f>
        <v>89,5520</v>
      </c>
      <c r="M12" s="30" t="s">
        <v>52</v>
      </c>
    </row>
    <row r="13" spans="1:13" ht="12.75">
      <c r="A13" s="30" t="s">
        <v>155</v>
      </c>
      <c r="B13" s="30" t="s">
        <v>156</v>
      </c>
      <c r="C13" s="30" t="s">
        <v>157</v>
      </c>
      <c r="D13" s="30" t="str">
        <f>"0,5563"</f>
        <v>0,5563</v>
      </c>
      <c r="E13" s="30" t="s">
        <v>44</v>
      </c>
      <c r="F13" s="30" t="s">
        <v>102</v>
      </c>
      <c r="G13" s="32" t="s">
        <v>300</v>
      </c>
      <c r="H13" s="32" t="s">
        <v>211</v>
      </c>
      <c r="I13" s="31" t="s">
        <v>299</v>
      </c>
      <c r="J13" s="31"/>
      <c r="K13" s="30" t="str">
        <f>"160,0"</f>
        <v>160,0</v>
      </c>
      <c r="L13" s="32" t="str">
        <f>"89,0080"</f>
        <v>89,0080</v>
      </c>
      <c r="M13" s="30" t="s">
        <v>52</v>
      </c>
    </row>
    <row r="14" spans="1:13" ht="12.75">
      <c r="A14" s="24" t="s">
        <v>79</v>
      </c>
      <c r="B14" s="24" t="s">
        <v>80</v>
      </c>
      <c r="C14" s="24" t="s">
        <v>81</v>
      </c>
      <c r="D14" s="24" t="str">
        <f>"0,5553"</f>
        <v>0,5553</v>
      </c>
      <c r="E14" s="24" t="s">
        <v>82</v>
      </c>
      <c r="F14" s="24" t="s">
        <v>83</v>
      </c>
      <c r="G14" s="25" t="s">
        <v>301</v>
      </c>
      <c r="H14" s="25" t="s">
        <v>216</v>
      </c>
      <c r="I14" s="25" t="s">
        <v>302</v>
      </c>
      <c r="J14" s="29"/>
      <c r="K14" s="24" t="str">
        <f>"190,0"</f>
        <v>190,0</v>
      </c>
      <c r="L14" s="25" t="str">
        <f>"190,9677"</f>
        <v>190,9677</v>
      </c>
      <c r="M14" s="24" t="s">
        <v>52</v>
      </c>
    </row>
    <row r="16" spans="1:12" ht="15">
      <c r="A16" s="42" t="s">
        <v>105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3" ht="12.75">
      <c r="A17" s="12" t="s">
        <v>303</v>
      </c>
      <c r="B17" s="12" t="s">
        <v>304</v>
      </c>
      <c r="C17" s="12" t="s">
        <v>305</v>
      </c>
      <c r="D17" s="12" t="str">
        <f>"0,5365"</f>
        <v>0,5365</v>
      </c>
      <c r="E17" s="12" t="s">
        <v>171</v>
      </c>
      <c r="F17" s="12" t="s">
        <v>102</v>
      </c>
      <c r="G17" s="13" t="s">
        <v>306</v>
      </c>
      <c r="H17" s="13" t="s">
        <v>216</v>
      </c>
      <c r="I17" s="13" t="s">
        <v>293</v>
      </c>
      <c r="J17" s="14"/>
      <c r="K17" s="12" t="str">
        <f>"200,0"</f>
        <v>200,0</v>
      </c>
      <c r="L17" s="13" t="str">
        <f>"107,3000"</f>
        <v>107,3000</v>
      </c>
      <c r="M17" s="12" t="s">
        <v>52</v>
      </c>
    </row>
    <row r="19" spans="1:12" ht="15">
      <c r="A19" s="42" t="s">
        <v>130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3" ht="12.75">
      <c r="A20" s="21" t="s">
        <v>307</v>
      </c>
      <c r="B20" s="21" t="s">
        <v>308</v>
      </c>
      <c r="C20" s="21" t="s">
        <v>309</v>
      </c>
      <c r="D20" s="21" t="str">
        <f>"0,5257"</f>
        <v>0,5257</v>
      </c>
      <c r="E20" s="21" t="s">
        <v>44</v>
      </c>
      <c r="F20" s="21" t="s">
        <v>227</v>
      </c>
      <c r="G20" s="22" t="s">
        <v>294</v>
      </c>
      <c r="H20" s="28" t="s">
        <v>310</v>
      </c>
      <c r="I20" s="22" t="s">
        <v>311</v>
      </c>
      <c r="J20" s="28"/>
      <c r="K20" s="21" t="str">
        <f>"205,0"</f>
        <v>205,0</v>
      </c>
      <c r="L20" s="22" t="str">
        <f>"107,7685"</f>
        <v>107,7685</v>
      </c>
      <c r="M20" s="21" t="s">
        <v>52</v>
      </c>
    </row>
    <row r="21" spans="1:13" ht="12.75">
      <c r="A21" s="30" t="s">
        <v>312</v>
      </c>
      <c r="B21" s="30" t="s">
        <v>313</v>
      </c>
      <c r="C21" s="30" t="s">
        <v>314</v>
      </c>
      <c r="D21" s="30" t="str">
        <f>"0,5237"</f>
        <v>0,5237</v>
      </c>
      <c r="E21" s="30" t="s">
        <v>226</v>
      </c>
      <c r="F21" s="30" t="s">
        <v>102</v>
      </c>
      <c r="G21" s="32" t="s">
        <v>301</v>
      </c>
      <c r="H21" s="32" t="s">
        <v>315</v>
      </c>
      <c r="I21" s="31" t="s">
        <v>176</v>
      </c>
      <c r="J21" s="31"/>
      <c r="K21" s="30" t="str">
        <f>"195,0"</f>
        <v>195,0</v>
      </c>
      <c r="L21" s="32" t="str">
        <f>"102,1215"</f>
        <v>102,1215</v>
      </c>
      <c r="M21" s="30" t="s">
        <v>52</v>
      </c>
    </row>
    <row r="22" spans="1:13" ht="12.75">
      <c r="A22" s="24" t="s">
        <v>316</v>
      </c>
      <c r="B22" s="24" t="s">
        <v>244</v>
      </c>
      <c r="C22" s="24" t="s">
        <v>245</v>
      </c>
      <c r="D22" s="24" t="str">
        <f>"0,5261"</f>
        <v>0,5261</v>
      </c>
      <c r="E22" s="24" t="s">
        <v>44</v>
      </c>
      <c r="F22" s="24" t="s">
        <v>102</v>
      </c>
      <c r="G22" s="25" t="s">
        <v>302</v>
      </c>
      <c r="H22" s="29" t="s">
        <v>293</v>
      </c>
      <c r="I22" s="29" t="s">
        <v>293</v>
      </c>
      <c r="J22" s="29"/>
      <c r="K22" s="24" t="str">
        <f>"190,0"</f>
        <v>190,0</v>
      </c>
      <c r="L22" s="25" t="str">
        <f>"99,9590"</f>
        <v>99,9590</v>
      </c>
      <c r="M22" s="24" t="s">
        <v>52</v>
      </c>
    </row>
    <row r="24" ht="15">
      <c r="E24" s="10" t="s">
        <v>18</v>
      </c>
    </row>
    <row r="25" ht="15">
      <c r="E25" s="10" t="s">
        <v>19</v>
      </c>
    </row>
    <row r="26" ht="15">
      <c r="E26" s="10" t="s">
        <v>20</v>
      </c>
    </row>
    <row r="27" ht="15">
      <c r="E27" s="10" t="s">
        <v>21</v>
      </c>
    </row>
    <row r="28" ht="15">
      <c r="E28" s="10" t="s">
        <v>21</v>
      </c>
    </row>
    <row r="29" ht="15">
      <c r="E29" s="10" t="s">
        <v>22</v>
      </c>
    </row>
    <row r="30" ht="15">
      <c r="E30" s="10"/>
    </row>
    <row r="32" spans="1:2" ht="18">
      <c r="A32" s="11" t="s">
        <v>23</v>
      </c>
      <c r="B32" s="11"/>
    </row>
    <row r="33" spans="1:2" ht="15">
      <c r="A33" s="15" t="s">
        <v>53</v>
      </c>
      <c r="B33" s="15"/>
    </row>
    <row r="34" spans="1:2" ht="14.25">
      <c r="A34" s="16"/>
      <c r="B34" s="17" t="s">
        <v>196</v>
      </c>
    </row>
    <row r="35" spans="1:5" ht="15">
      <c r="A35" s="18" t="s">
        <v>55</v>
      </c>
      <c r="B35" s="18" t="s">
        <v>56</v>
      </c>
      <c r="C35" s="18" t="s">
        <v>57</v>
      </c>
      <c r="D35" s="18" t="s">
        <v>58</v>
      </c>
      <c r="E35" s="18" t="s">
        <v>59</v>
      </c>
    </row>
    <row r="36" spans="1:5" ht="12.75">
      <c r="A36" s="19" t="s">
        <v>317</v>
      </c>
      <c r="B36" s="1" t="s">
        <v>194</v>
      </c>
      <c r="C36" s="1" t="s">
        <v>84</v>
      </c>
      <c r="D36" s="1" t="s">
        <v>203</v>
      </c>
      <c r="E36" s="20" t="s">
        <v>318</v>
      </c>
    </row>
    <row r="38" spans="1:2" ht="14.25">
      <c r="A38" s="16"/>
      <c r="B38" s="17" t="s">
        <v>54</v>
      </c>
    </row>
    <row r="39" spans="1:5" ht="15">
      <c r="A39" s="18" t="s">
        <v>55</v>
      </c>
      <c r="B39" s="18" t="s">
        <v>56</v>
      </c>
      <c r="C39" s="18" t="s">
        <v>57</v>
      </c>
      <c r="D39" s="18" t="s">
        <v>58</v>
      </c>
      <c r="E39" s="18" t="s">
        <v>59</v>
      </c>
    </row>
    <row r="40" spans="1:5" ht="12.75">
      <c r="A40" s="19" t="s">
        <v>87</v>
      </c>
      <c r="B40" s="1" t="s">
        <v>54</v>
      </c>
      <c r="C40" s="1" t="s">
        <v>84</v>
      </c>
      <c r="D40" s="1" t="s">
        <v>293</v>
      </c>
      <c r="E40" s="20" t="s">
        <v>319</v>
      </c>
    </row>
    <row r="41" spans="1:5" ht="12.75">
      <c r="A41" s="19" t="s">
        <v>320</v>
      </c>
      <c r="B41" s="1" t="s">
        <v>54</v>
      </c>
      <c r="C41" s="1" t="s">
        <v>144</v>
      </c>
      <c r="D41" s="1" t="s">
        <v>310</v>
      </c>
      <c r="E41" s="20" t="s">
        <v>321</v>
      </c>
    </row>
    <row r="42" spans="1:5" ht="12.75">
      <c r="A42" s="19" t="s">
        <v>322</v>
      </c>
      <c r="B42" s="1" t="s">
        <v>54</v>
      </c>
      <c r="C42" s="1" t="s">
        <v>117</v>
      </c>
      <c r="D42" s="1" t="s">
        <v>293</v>
      </c>
      <c r="E42" s="20" t="s">
        <v>323</v>
      </c>
    </row>
    <row r="43" spans="1:5" ht="12.75">
      <c r="A43" s="19" t="s">
        <v>324</v>
      </c>
      <c r="B43" s="1" t="s">
        <v>54</v>
      </c>
      <c r="C43" s="1" t="s">
        <v>103</v>
      </c>
      <c r="D43" s="1" t="s">
        <v>285</v>
      </c>
      <c r="E43" s="20" t="s">
        <v>325</v>
      </c>
    </row>
    <row r="44" spans="1:5" ht="12.75">
      <c r="A44" s="19" t="s">
        <v>326</v>
      </c>
      <c r="B44" s="1" t="s">
        <v>54</v>
      </c>
      <c r="C44" s="1" t="s">
        <v>144</v>
      </c>
      <c r="D44" s="1" t="s">
        <v>315</v>
      </c>
      <c r="E44" s="20" t="s">
        <v>327</v>
      </c>
    </row>
    <row r="45" spans="1:5" ht="12.75">
      <c r="A45" s="19" t="s">
        <v>247</v>
      </c>
      <c r="B45" s="1" t="s">
        <v>54</v>
      </c>
      <c r="C45" s="1" t="s">
        <v>144</v>
      </c>
      <c r="D45" s="1" t="s">
        <v>302</v>
      </c>
      <c r="E45" s="20" t="s">
        <v>328</v>
      </c>
    </row>
    <row r="46" spans="1:5" ht="12.75">
      <c r="A46" s="19" t="s">
        <v>329</v>
      </c>
      <c r="B46" s="1" t="s">
        <v>54</v>
      </c>
      <c r="C46" s="1" t="s">
        <v>84</v>
      </c>
      <c r="D46" s="1" t="s">
        <v>211</v>
      </c>
      <c r="E46" s="20" t="s">
        <v>330</v>
      </c>
    </row>
    <row r="47" spans="1:5" ht="12.75">
      <c r="A47" s="19" t="s">
        <v>331</v>
      </c>
      <c r="B47" s="1" t="s">
        <v>54</v>
      </c>
      <c r="C47" s="1" t="s">
        <v>103</v>
      </c>
      <c r="D47" s="1" t="s">
        <v>117</v>
      </c>
      <c r="E47" s="20" t="s">
        <v>332</v>
      </c>
    </row>
    <row r="49" spans="1:2" ht="14.25">
      <c r="A49" s="16"/>
      <c r="B49" s="17" t="s">
        <v>90</v>
      </c>
    </row>
    <row r="50" spans="1:5" ht="15">
      <c r="A50" s="18" t="s">
        <v>55</v>
      </c>
      <c r="B50" s="18" t="s">
        <v>56</v>
      </c>
      <c r="C50" s="18" t="s">
        <v>57</v>
      </c>
      <c r="D50" s="18" t="s">
        <v>58</v>
      </c>
      <c r="E50" s="18" t="s">
        <v>59</v>
      </c>
    </row>
    <row r="51" spans="1:5" ht="12.75">
      <c r="A51" s="19" t="s">
        <v>91</v>
      </c>
      <c r="B51" s="1" t="s">
        <v>92</v>
      </c>
      <c r="C51" s="1" t="s">
        <v>84</v>
      </c>
      <c r="D51" s="1" t="s">
        <v>302</v>
      </c>
      <c r="E51" s="20" t="s">
        <v>333</v>
      </c>
    </row>
    <row r="52" spans="1:5" ht="12.75">
      <c r="A52" s="19" t="s">
        <v>163</v>
      </c>
      <c r="B52" s="1" t="s">
        <v>164</v>
      </c>
      <c r="C52" s="1" t="s">
        <v>84</v>
      </c>
      <c r="D52" s="1" t="s">
        <v>211</v>
      </c>
      <c r="E52" s="20" t="s">
        <v>334</v>
      </c>
    </row>
  </sheetData>
  <sheetProtection selectLockedCells="1" selectUnlockedCells="1"/>
  <mergeCells count="15">
    <mergeCell ref="M3:M4"/>
    <mergeCell ref="A5:L5"/>
    <mergeCell ref="A9:L9"/>
    <mergeCell ref="A16:L16"/>
    <mergeCell ref="A19:L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9.00390625" style="1" customWidth="1"/>
    <col min="3" max="3" width="10.57421875" style="1" customWidth="1"/>
    <col min="4" max="4" width="9.28125" style="1" customWidth="1"/>
    <col min="5" max="5" width="22.7109375" style="1" customWidth="1"/>
    <col min="6" max="6" width="32.57421875" style="1" customWidth="1"/>
    <col min="7" max="9" width="6.57421875" style="3" customWidth="1"/>
    <col min="10" max="10" width="4.8515625" style="3" customWidth="1"/>
    <col min="11" max="11" width="7.8515625" style="1" customWidth="1"/>
    <col min="12" max="12" width="8.57421875" style="3" customWidth="1"/>
    <col min="13" max="13" width="11.57421875" style="1" customWidth="1"/>
    <col min="14" max="16384" width="9.140625" style="3" customWidth="1"/>
  </cols>
  <sheetData>
    <row r="1" spans="1:13" s="5" customFormat="1" ht="28.5" customHeight="1">
      <c r="A1" s="40" t="s">
        <v>335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222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5" spans="1:12" ht="15">
      <c r="A5" s="41" t="s">
        <v>336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21" t="s">
        <v>337</v>
      </c>
      <c r="B6" s="21" t="s">
        <v>338</v>
      </c>
      <c r="C6" s="21" t="s">
        <v>339</v>
      </c>
      <c r="D6" s="21" t="str">
        <f>"0,8609"</f>
        <v>0,8609</v>
      </c>
      <c r="E6" s="21" t="s">
        <v>44</v>
      </c>
      <c r="F6" s="21" t="s">
        <v>340</v>
      </c>
      <c r="G6" s="28" t="s">
        <v>341</v>
      </c>
      <c r="H6" s="22" t="s">
        <v>342</v>
      </c>
      <c r="I6" s="28" t="s">
        <v>343</v>
      </c>
      <c r="J6" s="28"/>
      <c r="K6" s="21" t="str">
        <f>"65,0"</f>
        <v>65,0</v>
      </c>
      <c r="L6" s="22" t="str">
        <f>"57,0777"</f>
        <v>57,0777</v>
      </c>
      <c r="M6" s="21" t="s">
        <v>52</v>
      </c>
    </row>
    <row r="7" spans="1:13" ht="12.75">
      <c r="A7" s="30" t="s">
        <v>337</v>
      </c>
      <c r="B7" s="30" t="s">
        <v>344</v>
      </c>
      <c r="C7" s="30" t="s">
        <v>339</v>
      </c>
      <c r="D7" s="30" t="str">
        <f>"0,8609"</f>
        <v>0,8609</v>
      </c>
      <c r="E7" s="30" t="s">
        <v>44</v>
      </c>
      <c r="F7" s="30" t="s">
        <v>340</v>
      </c>
      <c r="G7" s="31" t="s">
        <v>341</v>
      </c>
      <c r="H7" s="32" t="s">
        <v>342</v>
      </c>
      <c r="I7" s="31" t="s">
        <v>343</v>
      </c>
      <c r="J7" s="31"/>
      <c r="K7" s="30" t="str">
        <f>"65,0"</f>
        <v>65,0</v>
      </c>
      <c r="L7" s="32" t="str">
        <f>"55,9585"</f>
        <v>55,9585</v>
      </c>
      <c r="M7" s="30" t="s">
        <v>52</v>
      </c>
    </row>
    <row r="8" spans="1:13" ht="12.75">
      <c r="A8" s="24" t="s">
        <v>345</v>
      </c>
      <c r="B8" s="24" t="s">
        <v>346</v>
      </c>
      <c r="C8" s="24" t="s">
        <v>347</v>
      </c>
      <c r="D8" s="24" t="str">
        <f>"0,8769"</f>
        <v>0,8769</v>
      </c>
      <c r="E8" s="24" t="s">
        <v>348</v>
      </c>
      <c r="F8" s="24" t="s">
        <v>349</v>
      </c>
      <c r="G8" s="25" t="s">
        <v>49</v>
      </c>
      <c r="H8" s="25" t="s">
        <v>50</v>
      </c>
      <c r="I8" s="29" t="s">
        <v>51</v>
      </c>
      <c r="J8" s="29"/>
      <c r="K8" s="24" t="str">
        <f>"50,0"</f>
        <v>50,0</v>
      </c>
      <c r="L8" s="25" t="str">
        <f>"43,8450"</f>
        <v>43,8450</v>
      </c>
      <c r="M8" s="24" t="s">
        <v>350</v>
      </c>
    </row>
    <row r="10" spans="1:12" ht="15">
      <c r="A10" s="42" t="s">
        <v>351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3" ht="12.75">
      <c r="A11" s="12" t="s">
        <v>352</v>
      </c>
      <c r="B11" s="12" t="s">
        <v>353</v>
      </c>
      <c r="C11" s="12" t="s">
        <v>354</v>
      </c>
      <c r="D11" s="12" t="str">
        <f>"0,8142"</f>
        <v>0,8142</v>
      </c>
      <c r="E11" s="12" t="s">
        <v>348</v>
      </c>
      <c r="F11" s="12" t="s">
        <v>349</v>
      </c>
      <c r="G11" s="13" t="s">
        <v>355</v>
      </c>
      <c r="H11" s="13" t="s">
        <v>356</v>
      </c>
      <c r="I11" s="14" t="s">
        <v>49</v>
      </c>
      <c r="J11" s="14"/>
      <c r="K11" s="12" t="str">
        <f>"42,5"</f>
        <v>42,5</v>
      </c>
      <c r="L11" s="13" t="str">
        <f>"34,6056"</f>
        <v>34,6056</v>
      </c>
      <c r="M11" s="12" t="s">
        <v>350</v>
      </c>
    </row>
    <row r="13" spans="1:12" ht="15">
      <c r="A13" s="42" t="s">
        <v>40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3" ht="12.75">
      <c r="A14" s="12" t="s">
        <v>357</v>
      </c>
      <c r="B14" s="12" t="s">
        <v>358</v>
      </c>
      <c r="C14" s="12" t="s">
        <v>359</v>
      </c>
      <c r="D14" s="12" t="str">
        <f>"0,6965"</f>
        <v>0,6965</v>
      </c>
      <c r="E14" s="12" t="s">
        <v>360</v>
      </c>
      <c r="F14" s="12" t="s">
        <v>361</v>
      </c>
      <c r="G14" s="13" t="s">
        <v>46</v>
      </c>
      <c r="H14" s="13" t="s">
        <v>128</v>
      </c>
      <c r="I14" s="13" t="s">
        <v>47</v>
      </c>
      <c r="J14" s="14"/>
      <c r="K14" s="12" t="str">
        <f>"80,0"</f>
        <v>80,0</v>
      </c>
      <c r="L14" s="13" t="str">
        <f>"62,2392"</f>
        <v>62,2392</v>
      </c>
      <c r="M14" s="12" t="s">
        <v>52</v>
      </c>
    </row>
    <row r="16" spans="1:12" ht="15">
      <c r="A16" s="42" t="s">
        <v>351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3" ht="12.75">
      <c r="A17" s="21" t="s">
        <v>362</v>
      </c>
      <c r="B17" s="21" t="s">
        <v>363</v>
      </c>
      <c r="C17" s="21" t="s">
        <v>364</v>
      </c>
      <c r="D17" s="21" t="str">
        <f>"0,7258"</f>
        <v>0,7258</v>
      </c>
      <c r="E17" s="21" t="s">
        <v>44</v>
      </c>
      <c r="F17" s="21" t="s">
        <v>102</v>
      </c>
      <c r="G17" s="22" t="s">
        <v>365</v>
      </c>
      <c r="H17" s="22" t="s">
        <v>366</v>
      </c>
      <c r="I17" s="22" t="s">
        <v>367</v>
      </c>
      <c r="J17" s="28"/>
      <c r="K17" s="21" t="str">
        <f>"90,0"</f>
        <v>90,0</v>
      </c>
      <c r="L17" s="22" t="str">
        <f>"70,5478"</f>
        <v>70,5478</v>
      </c>
      <c r="M17" s="21" t="s">
        <v>52</v>
      </c>
    </row>
    <row r="18" spans="1:13" ht="12.75">
      <c r="A18" s="24" t="s">
        <v>368</v>
      </c>
      <c r="B18" s="24" t="s">
        <v>369</v>
      </c>
      <c r="C18" s="24" t="s">
        <v>370</v>
      </c>
      <c r="D18" s="24" t="str">
        <f>"0,7408"</f>
        <v>0,7408</v>
      </c>
      <c r="E18" s="24" t="s">
        <v>44</v>
      </c>
      <c r="F18" s="24" t="s">
        <v>102</v>
      </c>
      <c r="G18" s="29" t="s">
        <v>117</v>
      </c>
      <c r="H18" s="29" t="s">
        <v>117</v>
      </c>
      <c r="I18" s="29" t="s">
        <v>117</v>
      </c>
      <c r="J18" s="29"/>
      <c r="K18" s="24" t="str">
        <f>"0.00"</f>
        <v>0.00</v>
      </c>
      <c r="L18" s="25" t="str">
        <f>"0,0000"</f>
        <v>0,0000</v>
      </c>
      <c r="M18" s="24" t="s">
        <v>52</v>
      </c>
    </row>
    <row r="20" spans="1:12" ht="15">
      <c r="A20" s="42" t="s">
        <v>251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3" ht="12.75">
      <c r="A21" s="21" t="s">
        <v>371</v>
      </c>
      <c r="B21" s="21" t="s">
        <v>372</v>
      </c>
      <c r="C21" s="21" t="s">
        <v>373</v>
      </c>
      <c r="D21" s="21" t="str">
        <f>"0,6752"</f>
        <v>0,6752</v>
      </c>
      <c r="E21" s="21" t="s">
        <v>374</v>
      </c>
      <c r="F21" s="21" t="s">
        <v>375</v>
      </c>
      <c r="G21" s="22" t="s">
        <v>62</v>
      </c>
      <c r="H21" s="28" t="s">
        <v>376</v>
      </c>
      <c r="I21" s="28" t="s">
        <v>376</v>
      </c>
      <c r="J21" s="28"/>
      <c r="K21" s="21" t="str">
        <f>"132,5"</f>
        <v>132,5</v>
      </c>
      <c r="L21" s="22" t="str">
        <f>"94,8318"</f>
        <v>94,8318</v>
      </c>
      <c r="M21" s="21" t="s">
        <v>52</v>
      </c>
    </row>
    <row r="22" spans="1:13" ht="12.75">
      <c r="A22" s="30" t="s">
        <v>377</v>
      </c>
      <c r="B22" s="30" t="s">
        <v>378</v>
      </c>
      <c r="C22" s="30" t="s">
        <v>379</v>
      </c>
      <c r="D22" s="30" t="str">
        <f>"0,6789"</f>
        <v>0,6789</v>
      </c>
      <c r="E22" s="30" t="s">
        <v>44</v>
      </c>
      <c r="F22" s="30" t="s">
        <v>102</v>
      </c>
      <c r="G22" s="32" t="s">
        <v>289</v>
      </c>
      <c r="H22" s="31" t="s">
        <v>380</v>
      </c>
      <c r="I22" s="31" t="s">
        <v>380</v>
      </c>
      <c r="J22" s="31"/>
      <c r="K22" s="30" t="str">
        <f>"120,0"</f>
        <v>120,0</v>
      </c>
      <c r="L22" s="32" t="str">
        <f>"84,7267"</f>
        <v>84,7267</v>
      </c>
      <c r="M22" s="30" t="s">
        <v>52</v>
      </c>
    </row>
    <row r="23" spans="1:13" ht="12.75">
      <c r="A23" s="30" t="s">
        <v>371</v>
      </c>
      <c r="B23" s="30" t="s">
        <v>381</v>
      </c>
      <c r="C23" s="30" t="s">
        <v>373</v>
      </c>
      <c r="D23" s="30" t="str">
        <f>"0,6752"</f>
        <v>0,6752</v>
      </c>
      <c r="E23" s="30" t="s">
        <v>374</v>
      </c>
      <c r="F23" s="30" t="s">
        <v>375</v>
      </c>
      <c r="G23" s="32" t="s">
        <v>62</v>
      </c>
      <c r="H23" s="31" t="s">
        <v>376</v>
      </c>
      <c r="I23" s="31" t="s">
        <v>376</v>
      </c>
      <c r="J23" s="31"/>
      <c r="K23" s="30" t="str">
        <f>"132,5"</f>
        <v>132,5</v>
      </c>
      <c r="L23" s="32" t="str">
        <f>"89,4640"</f>
        <v>89,4640</v>
      </c>
      <c r="M23" s="30" t="s">
        <v>52</v>
      </c>
    </row>
    <row r="24" spans="1:13" ht="12.75">
      <c r="A24" s="24" t="s">
        <v>382</v>
      </c>
      <c r="B24" s="24" t="s">
        <v>383</v>
      </c>
      <c r="C24" s="24" t="s">
        <v>384</v>
      </c>
      <c r="D24" s="24" t="str">
        <f>"0,6652"</f>
        <v>0,6652</v>
      </c>
      <c r="E24" s="24" t="s">
        <v>44</v>
      </c>
      <c r="F24" s="24" t="s">
        <v>102</v>
      </c>
      <c r="G24" s="25" t="s">
        <v>385</v>
      </c>
      <c r="H24" s="29" t="s">
        <v>386</v>
      </c>
      <c r="I24" s="25" t="s">
        <v>386</v>
      </c>
      <c r="J24" s="29"/>
      <c r="K24" s="24" t="str">
        <f>"105,0"</f>
        <v>105,0</v>
      </c>
      <c r="L24" s="25" t="str">
        <f>"145,6289"</f>
        <v>145,6289</v>
      </c>
      <c r="M24" s="24" t="s">
        <v>52</v>
      </c>
    </row>
    <row r="26" spans="1:12" ht="15">
      <c r="A26" s="42" t="s">
        <v>40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3" ht="12.75">
      <c r="A27" s="21" t="s">
        <v>41</v>
      </c>
      <c r="B27" s="21" t="s">
        <v>42</v>
      </c>
      <c r="C27" s="21" t="s">
        <v>43</v>
      </c>
      <c r="D27" s="21" t="str">
        <f>"0,6262"</f>
        <v>0,6262</v>
      </c>
      <c r="E27" s="21" t="s">
        <v>44</v>
      </c>
      <c r="F27" s="21" t="s">
        <v>45</v>
      </c>
      <c r="G27" s="22" t="s">
        <v>387</v>
      </c>
      <c r="H27" s="22" t="s">
        <v>388</v>
      </c>
      <c r="I27" s="28" t="s">
        <v>257</v>
      </c>
      <c r="J27" s="28"/>
      <c r="K27" s="21" t="str">
        <f>"147,5"</f>
        <v>147,5</v>
      </c>
      <c r="L27" s="22" t="str">
        <f>"92,3645"</f>
        <v>92,3645</v>
      </c>
      <c r="M27" s="21" t="s">
        <v>52</v>
      </c>
    </row>
    <row r="28" spans="1:13" ht="12.75">
      <c r="A28" s="30" t="s">
        <v>389</v>
      </c>
      <c r="B28" s="30" t="s">
        <v>390</v>
      </c>
      <c r="C28" s="30" t="s">
        <v>43</v>
      </c>
      <c r="D28" s="30" t="str">
        <f>"0,6262"</f>
        <v>0,6262</v>
      </c>
      <c r="E28" s="30" t="s">
        <v>348</v>
      </c>
      <c r="F28" s="30" t="s">
        <v>391</v>
      </c>
      <c r="G28" s="32" t="s">
        <v>376</v>
      </c>
      <c r="H28" s="32" t="s">
        <v>387</v>
      </c>
      <c r="I28" s="31" t="s">
        <v>257</v>
      </c>
      <c r="J28" s="31"/>
      <c r="K28" s="30" t="str">
        <f>"145,0"</f>
        <v>145,0</v>
      </c>
      <c r="L28" s="32" t="str">
        <f>"90,7990"</f>
        <v>90,7990</v>
      </c>
      <c r="M28" s="30" t="s">
        <v>52</v>
      </c>
    </row>
    <row r="29" spans="1:13" ht="12.75">
      <c r="A29" s="24" t="s">
        <v>392</v>
      </c>
      <c r="B29" s="24" t="s">
        <v>393</v>
      </c>
      <c r="C29" s="24" t="s">
        <v>394</v>
      </c>
      <c r="D29" s="24" t="str">
        <f>"0,6335"</f>
        <v>0,6335</v>
      </c>
      <c r="E29" s="24" t="s">
        <v>44</v>
      </c>
      <c r="F29" s="24" t="s">
        <v>109</v>
      </c>
      <c r="G29" s="25" t="s">
        <v>144</v>
      </c>
      <c r="H29" s="29" t="s">
        <v>395</v>
      </c>
      <c r="I29" s="29" t="s">
        <v>395</v>
      </c>
      <c r="J29" s="29"/>
      <c r="K29" s="24" t="str">
        <f>"125,0"</f>
        <v>125,0</v>
      </c>
      <c r="L29" s="25" t="str">
        <f>"79,1875"</f>
        <v>79,1875</v>
      </c>
      <c r="M29" s="24" t="s">
        <v>52</v>
      </c>
    </row>
    <row r="31" spans="1:12" ht="15">
      <c r="A31" s="42" t="s">
        <v>97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3" ht="12.75">
      <c r="A32" s="21" t="s">
        <v>396</v>
      </c>
      <c r="B32" s="21" t="s">
        <v>397</v>
      </c>
      <c r="C32" s="21" t="s">
        <v>398</v>
      </c>
      <c r="D32" s="21" t="str">
        <f>"0,5947"</f>
        <v>0,5947</v>
      </c>
      <c r="E32" s="21" t="s">
        <v>44</v>
      </c>
      <c r="F32" s="21" t="s">
        <v>102</v>
      </c>
      <c r="G32" s="22" t="s">
        <v>342</v>
      </c>
      <c r="H32" s="22" t="s">
        <v>399</v>
      </c>
      <c r="I32" s="22" t="s">
        <v>366</v>
      </c>
      <c r="J32" s="28"/>
      <c r="K32" s="21" t="str">
        <f>"80,0"</f>
        <v>80,0</v>
      </c>
      <c r="L32" s="22" t="str">
        <f>"53,7609"</f>
        <v>53,7609</v>
      </c>
      <c r="M32" s="21" t="s">
        <v>52</v>
      </c>
    </row>
    <row r="33" spans="1:13" ht="12.75">
      <c r="A33" s="30" t="s">
        <v>98</v>
      </c>
      <c r="B33" s="30" t="s">
        <v>99</v>
      </c>
      <c r="C33" s="30" t="s">
        <v>100</v>
      </c>
      <c r="D33" s="30" t="str">
        <f>"0,5865"</f>
        <v>0,5865</v>
      </c>
      <c r="E33" s="30" t="s">
        <v>101</v>
      </c>
      <c r="F33" s="30" t="s">
        <v>102</v>
      </c>
      <c r="G33" s="32" t="s">
        <v>306</v>
      </c>
      <c r="H33" s="32" t="s">
        <v>301</v>
      </c>
      <c r="I33" s="32" t="s">
        <v>285</v>
      </c>
      <c r="J33" s="31"/>
      <c r="K33" s="30" t="str">
        <f>"182,5"</f>
        <v>182,5</v>
      </c>
      <c r="L33" s="32" t="str">
        <f>"107,0362"</f>
        <v>107,0362</v>
      </c>
      <c r="M33" s="30" t="s">
        <v>52</v>
      </c>
    </row>
    <row r="34" spans="1:13" ht="12.75">
      <c r="A34" s="30" t="s">
        <v>400</v>
      </c>
      <c r="B34" s="30" t="s">
        <v>401</v>
      </c>
      <c r="C34" s="30" t="s">
        <v>402</v>
      </c>
      <c r="D34" s="30" t="str">
        <f>"0,5877"</f>
        <v>0,5877</v>
      </c>
      <c r="E34" s="30" t="s">
        <v>44</v>
      </c>
      <c r="F34" s="30" t="s">
        <v>76</v>
      </c>
      <c r="G34" s="31" t="s">
        <v>103</v>
      </c>
      <c r="H34" s="32" t="s">
        <v>403</v>
      </c>
      <c r="I34" s="32" t="s">
        <v>404</v>
      </c>
      <c r="J34" s="31"/>
      <c r="K34" s="30" t="str">
        <f>"162,5"</f>
        <v>162,5</v>
      </c>
      <c r="L34" s="32" t="str">
        <f>"95,5013"</f>
        <v>95,5013</v>
      </c>
      <c r="M34" s="30" t="s">
        <v>52</v>
      </c>
    </row>
    <row r="35" spans="1:13" ht="12.75">
      <c r="A35" s="30" t="s">
        <v>405</v>
      </c>
      <c r="B35" s="30" t="s">
        <v>406</v>
      </c>
      <c r="C35" s="30" t="s">
        <v>407</v>
      </c>
      <c r="D35" s="30" t="str">
        <f>"0,5918"</f>
        <v>0,5918</v>
      </c>
      <c r="E35" s="30" t="s">
        <v>283</v>
      </c>
      <c r="F35" s="30" t="s">
        <v>102</v>
      </c>
      <c r="G35" s="32" t="s">
        <v>257</v>
      </c>
      <c r="H35" s="32" t="s">
        <v>408</v>
      </c>
      <c r="I35" s="32" t="s">
        <v>409</v>
      </c>
      <c r="J35" s="31"/>
      <c r="K35" s="30" t="str">
        <f>"157,5"</f>
        <v>157,5</v>
      </c>
      <c r="L35" s="32" t="str">
        <f>"93,2085"</f>
        <v>93,2085</v>
      </c>
      <c r="M35" s="30" t="s">
        <v>52</v>
      </c>
    </row>
    <row r="36" spans="1:13" ht="12.75">
      <c r="A36" s="24" t="s">
        <v>410</v>
      </c>
      <c r="B36" s="24" t="s">
        <v>411</v>
      </c>
      <c r="C36" s="24" t="s">
        <v>412</v>
      </c>
      <c r="D36" s="24" t="str">
        <f>"0,5861"</f>
        <v>0,5861</v>
      </c>
      <c r="E36" s="24" t="s">
        <v>44</v>
      </c>
      <c r="F36" s="24" t="s">
        <v>413</v>
      </c>
      <c r="G36" s="29" t="s">
        <v>103</v>
      </c>
      <c r="H36" s="25" t="s">
        <v>408</v>
      </c>
      <c r="I36" s="29" t="s">
        <v>258</v>
      </c>
      <c r="J36" s="29"/>
      <c r="K36" s="24" t="str">
        <f>"155,0"</f>
        <v>155,0</v>
      </c>
      <c r="L36" s="25" t="str">
        <f>"90,8455"</f>
        <v>90,8455</v>
      </c>
      <c r="M36" s="24" t="s">
        <v>52</v>
      </c>
    </row>
    <row r="38" spans="1:12" ht="15">
      <c r="A38" s="42" t="s">
        <v>72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3" ht="12.75">
      <c r="A39" s="21" t="s">
        <v>414</v>
      </c>
      <c r="B39" s="21" t="s">
        <v>415</v>
      </c>
      <c r="C39" s="21" t="s">
        <v>416</v>
      </c>
      <c r="D39" s="21" t="str">
        <f>"0,5619"</f>
        <v>0,5619</v>
      </c>
      <c r="E39" s="21" t="s">
        <v>44</v>
      </c>
      <c r="F39" s="21" t="s">
        <v>109</v>
      </c>
      <c r="G39" s="22" t="s">
        <v>408</v>
      </c>
      <c r="H39" s="28" t="s">
        <v>258</v>
      </c>
      <c r="I39" s="28"/>
      <c r="J39" s="28"/>
      <c r="K39" s="21" t="str">
        <f>"155,0"</f>
        <v>155,0</v>
      </c>
      <c r="L39" s="22" t="str">
        <f>"94,0621"</f>
        <v>94,0621</v>
      </c>
      <c r="M39" s="21" t="s">
        <v>52</v>
      </c>
    </row>
    <row r="40" spans="1:13" ht="12.75">
      <c r="A40" s="30" t="s">
        <v>417</v>
      </c>
      <c r="B40" s="30" t="s">
        <v>418</v>
      </c>
      <c r="C40" s="30" t="s">
        <v>419</v>
      </c>
      <c r="D40" s="30" t="str">
        <f>"0,5586"</f>
        <v>0,5586</v>
      </c>
      <c r="E40" s="30" t="s">
        <v>44</v>
      </c>
      <c r="F40" s="30" t="s">
        <v>83</v>
      </c>
      <c r="G40" s="32" t="s">
        <v>420</v>
      </c>
      <c r="H40" s="31" t="s">
        <v>258</v>
      </c>
      <c r="I40" s="32" t="s">
        <v>258</v>
      </c>
      <c r="J40" s="31"/>
      <c r="K40" s="30" t="str">
        <f>"162,5"</f>
        <v>162,5</v>
      </c>
      <c r="L40" s="32" t="str">
        <f>"90,7725"</f>
        <v>90,7725</v>
      </c>
      <c r="M40" s="30" t="s">
        <v>421</v>
      </c>
    </row>
    <row r="41" spans="1:13" ht="12.75">
      <c r="A41" s="30" t="s">
        <v>422</v>
      </c>
      <c r="B41" s="30" t="s">
        <v>423</v>
      </c>
      <c r="C41" s="30" t="s">
        <v>424</v>
      </c>
      <c r="D41" s="30" t="str">
        <f>"0,5555"</f>
        <v>0,5555</v>
      </c>
      <c r="E41" s="30" t="s">
        <v>44</v>
      </c>
      <c r="F41" s="30" t="s">
        <v>425</v>
      </c>
      <c r="G41" s="32" t="s">
        <v>387</v>
      </c>
      <c r="H41" s="32" t="s">
        <v>408</v>
      </c>
      <c r="I41" s="31" t="s">
        <v>409</v>
      </c>
      <c r="J41" s="31"/>
      <c r="K41" s="30" t="str">
        <f>"155,0"</f>
        <v>155,0</v>
      </c>
      <c r="L41" s="32" t="str">
        <f>"87,6523"</f>
        <v>87,6523</v>
      </c>
      <c r="M41" s="30" t="s">
        <v>52</v>
      </c>
    </row>
    <row r="42" spans="1:13" ht="12.75">
      <c r="A42" s="24" t="s">
        <v>426</v>
      </c>
      <c r="B42" s="24" t="s">
        <v>427</v>
      </c>
      <c r="C42" s="24" t="s">
        <v>428</v>
      </c>
      <c r="D42" s="24" t="str">
        <f>"0,5678"</f>
        <v>0,5678</v>
      </c>
      <c r="E42" s="24" t="s">
        <v>44</v>
      </c>
      <c r="F42" s="24" t="s">
        <v>102</v>
      </c>
      <c r="G42" s="25" t="s">
        <v>211</v>
      </c>
      <c r="H42" s="25" t="s">
        <v>429</v>
      </c>
      <c r="I42" s="29" t="s">
        <v>299</v>
      </c>
      <c r="J42" s="29"/>
      <c r="K42" s="24" t="str">
        <f>"165,0"</f>
        <v>165,0</v>
      </c>
      <c r="L42" s="25" t="str">
        <f>"98,1840"</f>
        <v>98,1840</v>
      </c>
      <c r="M42" s="24" t="s">
        <v>52</v>
      </c>
    </row>
    <row r="44" spans="1:12" ht="15">
      <c r="A44" s="42" t="s">
        <v>105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3" ht="12.75">
      <c r="A45" s="21" t="s">
        <v>430</v>
      </c>
      <c r="B45" s="21" t="s">
        <v>431</v>
      </c>
      <c r="C45" s="21" t="s">
        <v>432</v>
      </c>
      <c r="D45" s="21" t="str">
        <f>"0,5378"</f>
        <v>0,5378</v>
      </c>
      <c r="E45" s="21" t="s">
        <v>44</v>
      </c>
      <c r="F45" s="21" t="s">
        <v>102</v>
      </c>
      <c r="G45" s="22" t="s">
        <v>299</v>
      </c>
      <c r="H45" s="22" t="s">
        <v>433</v>
      </c>
      <c r="I45" s="22" t="s">
        <v>434</v>
      </c>
      <c r="J45" s="28"/>
      <c r="K45" s="21" t="str">
        <f>"177,5"</f>
        <v>177,5</v>
      </c>
      <c r="L45" s="22" t="str">
        <f>"95,4595"</f>
        <v>95,4595</v>
      </c>
      <c r="M45" s="21" t="s">
        <v>52</v>
      </c>
    </row>
    <row r="46" spans="1:13" ht="12.75">
      <c r="A46" s="30" t="s">
        <v>435</v>
      </c>
      <c r="B46" s="30" t="s">
        <v>436</v>
      </c>
      <c r="C46" s="30" t="s">
        <v>437</v>
      </c>
      <c r="D46" s="30" t="str">
        <f>"0,5419"</f>
        <v>0,5419</v>
      </c>
      <c r="E46" s="30" t="s">
        <v>44</v>
      </c>
      <c r="F46" s="30" t="s">
        <v>425</v>
      </c>
      <c r="G46" s="32" t="s">
        <v>438</v>
      </c>
      <c r="H46" s="32" t="s">
        <v>403</v>
      </c>
      <c r="I46" s="31" t="s">
        <v>211</v>
      </c>
      <c r="J46" s="31"/>
      <c r="K46" s="30" t="str">
        <f>"155,0"</f>
        <v>155,0</v>
      </c>
      <c r="L46" s="32" t="str">
        <f>"83,9945"</f>
        <v>83,9945</v>
      </c>
      <c r="M46" s="30" t="s">
        <v>52</v>
      </c>
    </row>
    <row r="47" spans="1:13" ht="12.75">
      <c r="A47" s="30" t="s">
        <v>106</v>
      </c>
      <c r="B47" s="30" t="s">
        <v>107</v>
      </c>
      <c r="C47" s="30" t="s">
        <v>108</v>
      </c>
      <c r="D47" s="30" t="str">
        <f>"0,5380"</f>
        <v>0,5380</v>
      </c>
      <c r="E47" s="30" t="s">
        <v>44</v>
      </c>
      <c r="F47" s="30" t="s">
        <v>109</v>
      </c>
      <c r="G47" s="32" t="s">
        <v>403</v>
      </c>
      <c r="H47" s="32" t="s">
        <v>404</v>
      </c>
      <c r="I47" s="32" t="s">
        <v>439</v>
      </c>
      <c r="J47" s="31"/>
      <c r="K47" s="30" t="str">
        <f>"170,0"</f>
        <v>170,0</v>
      </c>
      <c r="L47" s="32" t="str">
        <f>"110,5751"</f>
        <v>110,5751</v>
      </c>
      <c r="M47" s="30" t="s">
        <v>52</v>
      </c>
    </row>
    <row r="48" spans="1:13" ht="12.75">
      <c r="A48" s="24" t="s">
        <v>440</v>
      </c>
      <c r="B48" s="24" t="s">
        <v>441</v>
      </c>
      <c r="C48" s="24" t="s">
        <v>442</v>
      </c>
      <c r="D48" s="24" t="str">
        <f>"0,5368"</f>
        <v>0,5368</v>
      </c>
      <c r="E48" s="24" t="s">
        <v>44</v>
      </c>
      <c r="F48" s="24" t="s">
        <v>361</v>
      </c>
      <c r="G48" s="25" t="s">
        <v>443</v>
      </c>
      <c r="H48" s="25" t="s">
        <v>388</v>
      </c>
      <c r="I48" s="29" t="s">
        <v>257</v>
      </c>
      <c r="J48" s="29"/>
      <c r="K48" s="24" t="str">
        <f>"147,5"</f>
        <v>147,5</v>
      </c>
      <c r="L48" s="25" t="str">
        <f>"101,4270"</f>
        <v>101,4270</v>
      </c>
      <c r="M48" s="24" t="s">
        <v>52</v>
      </c>
    </row>
    <row r="50" spans="1:12" ht="15">
      <c r="A50" s="42" t="s">
        <v>130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3" ht="12.75">
      <c r="A51" s="21" t="s">
        <v>444</v>
      </c>
      <c r="B51" s="21" t="s">
        <v>445</v>
      </c>
      <c r="C51" s="21" t="s">
        <v>446</v>
      </c>
      <c r="D51" s="21" t="str">
        <f>"0,5253"</f>
        <v>0,5253</v>
      </c>
      <c r="E51" s="21" t="s">
        <v>44</v>
      </c>
      <c r="F51" s="21" t="s">
        <v>447</v>
      </c>
      <c r="G51" s="22" t="s">
        <v>306</v>
      </c>
      <c r="H51" s="22" t="s">
        <v>301</v>
      </c>
      <c r="I51" s="28" t="s">
        <v>216</v>
      </c>
      <c r="J51" s="28"/>
      <c r="K51" s="21" t="str">
        <f>"180,0"</f>
        <v>180,0</v>
      </c>
      <c r="L51" s="22" t="str">
        <f>"94,5540"</f>
        <v>94,5540</v>
      </c>
      <c r="M51" s="21" t="s">
        <v>52</v>
      </c>
    </row>
    <row r="52" spans="1:13" ht="12.75">
      <c r="A52" s="30" t="s">
        <v>448</v>
      </c>
      <c r="B52" s="30" t="s">
        <v>449</v>
      </c>
      <c r="C52" s="30" t="s">
        <v>450</v>
      </c>
      <c r="D52" s="30" t="str">
        <f>"0,5251"</f>
        <v>0,5251</v>
      </c>
      <c r="E52" s="30" t="s">
        <v>44</v>
      </c>
      <c r="F52" s="30" t="s">
        <v>102</v>
      </c>
      <c r="G52" s="32" t="s">
        <v>211</v>
      </c>
      <c r="H52" s="31" t="s">
        <v>258</v>
      </c>
      <c r="I52" s="31" t="s">
        <v>258</v>
      </c>
      <c r="J52" s="31"/>
      <c r="K52" s="30" t="str">
        <f>"160,0"</f>
        <v>160,0</v>
      </c>
      <c r="L52" s="32" t="str">
        <f>"84,0160"</f>
        <v>84,0160</v>
      </c>
      <c r="M52" s="30" t="s">
        <v>451</v>
      </c>
    </row>
    <row r="53" spans="1:13" ht="12.75">
      <c r="A53" s="24" t="s">
        <v>444</v>
      </c>
      <c r="B53" s="24" t="s">
        <v>452</v>
      </c>
      <c r="C53" s="24" t="s">
        <v>446</v>
      </c>
      <c r="D53" s="24" t="str">
        <f>"0,5253"</f>
        <v>0,5253</v>
      </c>
      <c r="E53" s="24" t="s">
        <v>44</v>
      </c>
      <c r="F53" s="24" t="s">
        <v>447</v>
      </c>
      <c r="G53" s="25" t="s">
        <v>453</v>
      </c>
      <c r="H53" s="25" t="s">
        <v>212</v>
      </c>
      <c r="I53" s="29" t="s">
        <v>216</v>
      </c>
      <c r="J53" s="29"/>
      <c r="K53" s="24" t="str">
        <f>"180,0"</f>
        <v>180,0</v>
      </c>
      <c r="L53" s="25" t="str">
        <f>"94,8377"</f>
        <v>94,8377</v>
      </c>
      <c r="M53" s="24" t="s">
        <v>52</v>
      </c>
    </row>
    <row r="55" ht="15">
      <c r="E55" s="10" t="s">
        <v>18</v>
      </c>
    </row>
    <row r="56" ht="15">
      <c r="E56" s="10" t="s">
        <v>19</v>
      </c>
    </row>
    <row r="57" ht="15">
      <c r="E57" s="10" t="s">
        <v>20</v>
      </c>
    </row>
    <row r="58" ht="15">
      <c r="E58" s="10" t="s">
        <v>21</v>
      </c>
    </row>
    <row r="59" ht="15">
      <c r="E59" s="10" t="s">
        <v>21</v>
      </c>
    </row>
    <row r="60" ht="15">
      <c r="E60" s="10" t="s">
        <v>22</v>
      </c>
    </row>
    <row r="61" ht="15">
      <c r="E61" s="10"/>
    </row>
    <row r="63" spans="1:2" ht="18">
      <c r="A63" s="11" t="s">
        <v>23</v>
      </c>
      <c r="B63" s="11"/>
    </row>
    <row r="64" spans="1:2" ht="15">
      <c r="A64" s="15" t="s">
        <v>139</v>
      </c>
      <c r="B64" s="15"/>
    </row>
    <row r="65" spans="1:2" ht="14.25">
      <c r="A65" s="16"/>
      <c r="B65" s="17" t="s">
        <v>192</v>
      </c>
    </row>
    <row r="66" spans="1:5" ht="15">
      <c r="A66" s="18" t="s">
        <v>55</v>
      </c>
      <c r="B66" s="18" t="s">
        <v>56</v>
      </c>
      <c r="C66" s="18" t="s">
        <v>57</v>
      </c>
      <c r="D66" s="18" t="s">
        <v>58</v>
      </c>
      <c r="E66" s="18" t="s">
        <v>59</v>
      </c>
    </row>
    <row r="67" spans="1:5" ht="12.75">
      <c r="A67" s="19" t="s">
        <v>454</v>
      </c>
      <c r="B67" s="1" t="s">
        <v>194</v>
      </c>
      <c r="C67" s="1" t="s">
        <v>455</v>
      </c>
      <c r="D67" s="1" t="s">
        <v>341</v>
      </c>
      <c r="E67" s="20" t="s">
        <v>456</v>
      </c>
    </row>
    <row r="69" spans="1:2" ht="14.25">
      <c r="A69" s="16"/>
      <c r="B69" s="17" t="s">
        <v>54</v>
      </c>
    </row>
    <row r="70" spans="1:5" ht="15">
      <c r="A70" s="18" t="s">
        <v>55</v>
      </c>
      <c r="B70" s="18" t="s">
        <v>56</v>
      </c>
      <c r="C70" s="18" t="s">
        <v>57</v>
      </c>
      <c r="D70" s="18" t="s">
        <v>58</v>
      </c>
      <c r="E70" s="18" t="s">
        <v>59</v>
      </c>
    </row>
    <row r="71" spans="1:5" ht="12.75">
      <c r="A71" s="19" t="s">
        <v>454</v>
      </c>
      <c r="B71" s="1" t="s">
        <v>54</v>
      </c>
      <c r="C71" s="1" t="s">
        <v>455</v>
      </c>
      <c r="D71" s="1" t="s">
        <v>341</v>
      </c>
      <c r="E71" s="20" t="s">
        <v>457</v>
      </c>
    </row>
    <row r="72" spans="1:5" ht="12.75">
      <c r="A72" s="19" t="s">
        <v>458</v>
      </c>
      <c r="B72" s="1" t="s">
        <v>54</v>
      </c>
      <c r="C72" s="1" t="s">
        <v>455</v>
      </c>
      <c r="D72" s="1" t="s">
        <v>50</v>
      </c>
      <c r="E72" s="20" t="s">
        <v>459</v>
      </c>
    </row>
    <row r="73" spans="1:5" ht="12.75">
      <c r="A73" s="19" t="s">
        <v>460</v>
      </c>
      <c r="B73" s="1" t="s">
        <v>54</v>
      </c>
      <c r="C73" s="1" t="s">
        <v>461</v>
      </c>
      <c r="D73" s="1" t="s">
        <v>356</v>
      </c>
      <c r="E73" s="20" t="s">
        <v>462</v>
      </c>
    </row>
    <row r="75" spans="1:2" ht="14.25">
      <c r="A75" s="16"/>
      <c r="B75" s="17" t="s">
        <v>90</v>
      </c>
    </row>
    <row r="76" spans="1:5" ht="15">
      <c r="A76" s="18" t="s">
        <v>55</v>
      </c>
      <c r="B76" s="18" t="s">
        <v>56</v>
      </c>
      <c r="C76" s="18" t="s">
        <v>57</v>
      </c>
      <c r="D76" s="18" t="s">
        <v>58</v>
      </c>
      <c r="E76" s="18" t="s">
        <v>59</v>
      </c>
    </row>
    <row r="77" spans="1:5" ht="12.75">
      <c r="A77" s="19" t="s">
        <v>463</v>
      </c>
      <c r="B77" s="1" t="s">
        <v>464</v>
      </c>
      <c r="C77" s="1" t="s">
        <v>61</v>
      </c>
      <c r="D77" s="1" t="s">
        <v>47</v>
      </c>
      <c r="E77" s="20" t="s">
        <v>465</v>
      </c>
    </row>
    <row r="80" spans="1:2" ht="15">
      <c r="A80" s="15" t="s">
        <v>53</v>
      </c>
      <c r="B80" s="15"/>
    </row>
    <row r="81" spans="1:2" ht="14.25">
      <c r="A81" s="16"/>
      <c r="B81" s="17" t="s">
        <v>466</v>
      </c>
    </row>
    <row r="82" spans="1:5" ht="15">
      <c r="A82" s="18" t="s">
        <v>55</v>
      </c>
      <c r="B82" s="18" t="s">
        <v>56</v>
      </c>
      <c r="C82" s="18" t="s">
        <v>57</v>
      </c>
      <c r="D82" s="18" t="s">
        <v>58</v>
      </c>
      <c r="E82" s="18" t="s">
        <v>59</v>
      </c>
    </row>
    <row r="83" spans="1:5" ht="12.75">
      <c r="A83" s="19" t="s">
        <v>467</v>
      </c>
      <c r="B83" s="1" t="s">
        <v>468</v>
      </c>
      <c r="C83" s="1" t="s">
        <v>46</v>
      </c>
      <c r="D83" s="1" t="s">
        <v>62</v>
      </c>
      <c r="E83" s="20" t="s">
        <v>469</v>
      </c>
    </row>
    <row r="84" spans="1:5" ht="12.75">
      <c r="A84" s="19" t="s">
        <v>470</v>
      </c>
      <c r="B84" s="1" t="s">
        <v>471</v>
      </c>
      <c r="C84" s="1" t="s">
        <v>84</v>
      </c>
      <c r="D84" s="1" t="s">
        <v>408</v>
      </c>
      <c r="E84" s="20" t="s">
        <v>472</v>
      </c>
    </row>
    <row r="85" spans="1:5" ht="12.75">
      <c r="A85" s="19" t="s">
        <v>473</v>
      </c>
      <c r="B85" s="1" t="s">
        <v>468</v>
      </c>
      <c r="C85" s="1" t="s">
        <v>46</v>
      </c>
      <c r="D85" s="1" t="s">
        <v>289</v>
      </c>
      <c r="E85" s="20" t="s">
        <v>474</v>
      </c>
    </row>
    <row r="86" spans="1:5" ht="12.75">
      <c r="A86" s="19" t="s">
        <v>475</v>
      </c>
      <c r="B86" s="1" t="s">
        <v>471</v>
      </c>
      <c r="C86" s="1" t="s">
        <v>461</v>
      </c>
      <c r="D86" s="1" t="s">
        <v>103</v>
      </c>
      <c r="E86" s="20" t="s">
        <v>476</v>
      </c>
    </row>
    <row r="87" spans="1:5" ht="12.75">
      <c r="A87" s="19" t="s">
        <v>477</v>
      </c>
      <c r="B87" s="1" t="s">
        <v>471</v>
      </c>
      <c r="C87" s="1" t="s">
        <v>103</v>
      </c>
      <c r="D87" s="1" t="s">
        <v>47</v>
      </c>
      <c r="E87" s="20" t="s">
        <v>478</v>
      </c>
    </row>
    <row r="89" spans="1:2" ht="14.25">
      <c r="A89" s="16"/>
      <c r="B89" s="17" t="s">
        <v>54</v>
      </c>
    </row>
    <row r="90" spans="1:5" ht="15">
      <c r="A90" s="18" t="s">
        <v>55</v>
      </c>
      <c r="B90" s="18" t="s">
        <v>56</v>
      </c>
      <c r="C90" s="18" t="s">
        <v>57</v>
      </c>
      <c r="D90" s="18" t="s">
        <v>58</v>
      </c>
      <c r="E90" s="18" t="s">
        <v>59</v>
      </c>
    </row>
    <row r="91" spans="1:5" ht="12.75">
      <c r="A91" s="19" t="s">
        <v>112</v>
      </c>
      <c r="B91" s="1" t="s">
        <v>54</v>
      </c>
      <c r="C91" s="1" t="s">
        <v>103</v>
      </c>
      <c r="D91" s="1" t="s">
        <v>285</v>
      </c>
      <c r="E91" s="20" t="s">
        <v>479</v>
      </c>
    </row>
    <row r="92" spans="1:5" ht="12.75">
      <c r="A92" s="19" t="s">
        <v>480</v>
      </c>
      <c r="B92" s="1" t="s">
        <v>54</v>
      </c>
      <c r="C92" s="1" t="s">
        <v>103</v>
      </c>
      <c r="D92" s="1" t="s">
        <v>258</v>
      </c>
      <c r="E92" s="20" t="s">
        <v>481</v>
      </c>
    </row>
    <row r="93" spans="1:5" ht="12.75">
      <c r="A93" s="19" t="s">
        <v>482</v>
      </c>
      <c r="B93" s="1" t="s">
        <v>54</v>
      </c>
      <c r="C93" s="1" t="s">
        <v>117</v>
      </c>
      <c r="D93" s="1" t="s">
        <v>284</v>
      </c>
      <c r="E93" s="20" t="s">
        <v>483</v>
      </c>
    </row>
    <row r="94" spans="1:5" ht="12.75">
      <c r="A94" s="19" t="s">
        <v>484</v>
      </c>
      <c r="B94" s="1" t="s">
        <v>54</v>
      </c>
      <c r="C94" s="1" t="s">
        <v>144</v>
      </c>
      <c r="D94" s="1" t="s">
        <v>301</v>
      </c>
      <c r="E94" s="20" t="s">
        <v>485</v>
      </c>
    </row>
    <row r="95" spans="1:5" ht="12.75">
      <c r="A95" s="19" t="s">
        <v>486</v>
      </c>
      <c r="B95" s="1" t="s">
        <v>54</v>
      </c>
      <c r="C95" s="1" t="s">
        <v>103</v>
      </c>
      <c r="D95" s="1" t="s">
        <v>409</v>
      </c>
      <c r="E95" s="20" t="s">
        <v>487</v>
      </c>
    </row>
    <row r="96" spans="1:5" ht="12.75">
      <c r="A96" s="19" t="s">
        <v>60</v>
      </c>
      <c r="B96" s="1" t="s">
        <v>54</v>
      </c>
      <c r="C96" s="1" t="s">
        <v>61</v>
      </c>
      <c r="D96" s="1" t="s">
        <v>388</v>
      </c>
      <c r="E96" s="20" t="s">
        <v>488</v>
      </c>
    </row>
    <row r="97" spans="1:5" ht="12.75">
      <c r="A97" s="19" t="s">
        <v>489</v>
      </c>
      <c r="B97" s="1" t="s">
        <v>54</v>
      </c>
      <c r="C97" s="1" t="s">
        <v>103</v>
      </c>
      <c r="D97" s="1" t="s">
        <v>408</v>
      </c>
      <c r="E97" s="20" t="s">
        <v>490</v>
      </c>
    </row>
    <row r="98" spans="1:5" ht="12.75">
      <c r="A98" s="19" t="s">
        <v>491</v>
      </c>
      <c r="B98" s="1" t="s">
        <v>54</v>
      </c>
      <c r="C98" s="1" t="s">
        <v>61</v>
      </c>
      <c r="D98" s="1" t="s">
        <v>387</v>
      </c>
      <c r="E98" s="20" t="s">
        <v>492</v>
      </c>
    </row>
    <row r="99" spans="1:5" ht="12.75">
      <c r="A99" s="19" t="s">
        <v>493</v>
      </c>
      <c r="B99" s="1" t="s">
        <v>54</v>
      </c>
      <c r="C99" s="1" t="s">
        <v>84</v>
      </c>
      <c r="D99" s="1" t="s">
        <v>258</v>
      </c>
      <c r="E99" s="20" t="s">
        <v>494</v>
      </c>
    </row>
    <row r="100" spans="1:5" ht="12.75">
      <c r="A100" s="19" t="s">
        <v>467</v>
      </c>
      <c r="B100" s="1" t="s">
        <v>54</v>
      </c>
      <c r="C100" s="1" t="s">
        <v>46</v>
      </c>
      <c r="D100" s="1" t="s">
        <v>62</v>
      </c>
      <c r="E100" s="20" t="s">
        <v>495</v>
      </c>
    </row>
    <row r="101" spans="1:5" ht="12.75">
      <c r="A101" s="19" t="s">
        <v>496</v>
      </c>
      <c r="B101" s="1" t="s">
        <v>54</v>
      </c>
      <c r="C101" s="1" t="s">
        <v>144</v>
      </c>
      <c r="D101" s="1" t="s">
        <v>211</v>
      </c>
      <c r="E101" s="20" t="s">
        <v>497</v>
      </c>
    </row>
    <row r="102" spans="1:5" ht="12.75">
      <c r="A102" s="19" t="s">
        <v>498</v>
      </c>
      <c r="B102" s="1" t="s">
        <v>54</v>
      </c>
      <c r="C102" s="1" t="s">
        <v>61</v>
      </c>
      <c r="D102" s="1" t="s">
        <v>144</v>
      </c>
      <c r="E102" s="20" t="s">
        <v>499</v>
      </c>
    </row>
    <row r="104" spans="1:2" ht="14.25">
      <c r="A104" s="16"/>
      <c r="B104" s="17" t="s">
        <v>90</v>
      </c>
    </row>
    <row r="105" spans="1:5" ht="15">
      <c r="A105" s="18" t="s">
        <v>55</v>
      </c>
      <c r="B105" s="18" t="s">
        <v>56</v>
      </c>
      <c r="C105" s="18" t="s">
        <v>57</v>
      </c>
      <c r="D105" s="18" t="s">
        <v>58</v>
      </c>
      <c r="E105" s="18" t="s">
        <v>59</v>
      </c>
    </row>
    <row r="106" spans="1:5" ht="12.75">
      <c r="A106" s="19" t="s">
        <v>500</v>
      </c>
      <c r="B106" s="1" t="s">
        <v>501</v>
      </c>
      <c r="C106" s="1" t="s">
        <v>46</v>
      </c>
      <c r="D106" s="1" t="s">
        <v>386</v>
      </c>
      <c r="E106" s="20" t="s">
        <v>502</v>
      </c>
    </row>
    <row r="107" spans="1:5" ht="12.75">
      <c r="A107" s="19" t="s">
        <v>115</v>
      </c>
      <c r="B107" s="1" t="s">
        <v>116</v>
      </c>
      <c r="C107" s="1" t="s">
        <v>117</v>
      </c>
      <c r="D107" s="1" t="s">
        <v>503</v>
      </c>
      <c r="E107" s="20" t="s">
        <v>504</v>
      </c>
    </row>
    <row r="108" spans="1:5" ht="12.75">
      <c r="A108" s="19" t="s">
        <v>505</v>
      </c>
      <c r="B108" s="1" t="s">
        <v>116</v>
      </c>
      <c r="C108" s="1" t="s">
        <v>117</v>
      </c>
      <c r="D108" s="1" t="s">
        <v>388</v>
      </c>
      <c r="E108" s="20" t="s">
        <v>506</v>
      </c>
    </row>
    <row r="109" spans="1:5" ht="12.75">
      <c r="A109" s="19" t="s">
        <v>507</v>
      </c>
      <c r="B109" s="1" t="s">
        <v>464</v>
      </c>
      <c r="C109" s="1" t="s">
        <v>84</v>
      </c>
      <c r="D109" s="1" t="s">
        <v>429</v>
      </c>
      <c r="E109" s="20" t="s">
        <v>508</v>
      </c>
    </row>
    <row r="110" spans="1:5" ht="12.75">
      <c r="A110" s="19" t="s">
        <v>484</v>
      </c>
      <c r="B110" s="1" t="s">
        <v>164</v>
      </c>
      <c r="C110" s="1" t="s">
        <v>144</v>
      </c>
      <c r="D110" s="1" t="s">
        <v>301</v>
      </c>
      <c r="E110" s="20" t="s">
        <v>509</v>
      </c>
    </row>
    <row r="111" spans="1:5" ht="12.75">
      <c r="A111" s="19" t="s">
        <v>510</v>
      </c>
      <c r="B111" s="1" t="s">
        <v>164</v>
      </c>
      <c r="C111" s="1" t="s">
        <v>84</v>
      </c>
      <c r="D111" s="1" t="s">
        <v>408</v>
      </c>
      <c r="E111" s="20" t="s">
        <v>511</v>
      </c>
    </row>
    <row r="112" spans="1:5" ht="12.75">
      <c r="A112" s="19" t="s">
        <v>512</v>
      </c>
      <c r="B112" s="1" t="s">
        <v>164</v>
      </c>
      <c r="C112" s="1" t="s">
        <v>117</v>
      </c>
      <c r="D112" s="1" t="s">
        <v>408</v>
      </c>
      <c r="E112" s="20" t="s">
        <v>513</v>
      </c>
    </row>
  </sheetData>
  <sheetProtection selectLockedCells="1" selectUnlockedCells="1"/>
  <mergeCells count="21">
    <mergeCell ref="A26:L26"/>
    <mergeCell ref="A31:L31"/>
    <mergeCell ref="A38:L38"/>
    <mergeCell ref="A44:L44"/>
    <mergeCell ref="A50:L50"/>
    <mergeCell ref="M3:M4"/>
    <mergeCell ref="A5:L5"/>
    <mergeCell ref="A10:L10"/>
    <mergeCell ref="A13:L13"/>
    <mergeCell ref="A16:L16"/>
    <mergeCell ref="A20:L20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514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7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515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7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516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7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517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7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1" width="7.8515625" style="1" customWidth="1"/>
    <col min="12" max="12" width="6.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518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7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8.57421875" style="1" customWidth="1"/>
    <col min="3" max="3" width="10.57421875" style="1" customWidth="1"/>
    <col min="4" max="4" width="9.28125" style="1" customWidth="1"/>
    <col min="5" max="5" width="22.7109375" style="1" customWidth="1"/>
    <col min="6" max="6" width="30.28125" style="1" customWidth="1"/>
    <col min="7" max="7" width="5.57421875" style="3" customWidth="1"/>
    <col min="8" max="9" width="6.57421875" style="3" customWidth="1"/>
    <col min="10" max="10" width="4.8515625" style="3" customWidth="1"/>
    <col min="11" max="11" width="7.8515625" style="1" customWidth="1"/>
    <col min="12" max="12" width="8.57421875" style="3" customWidth="1"/>
    <col min="13" max="13" width="8.8515625" style="1" customWidth="1"/>
    <col min="14" max="16384" width="9.140625" style="3" customWidth="1"/>
  </cols>
  <sheetData>
    <row r="1" spans="1:13" s="5" customFormat="1" ht="28.5" customHeight="1">
      <c r="A1" s="40" t="s">
        <v>519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222</v>
      </c>
      <c r="H3" s="38"/>
      <c r="I3" s="38"/>
      <c r="J3" s="38"/>
      <c r="K3" s="37" t="s">
        <v>65</v>
      </c>
      <c r="L3" s="37" t="s">
        <v>10</v>
      </c>
      <c r="M3" s="39" t="s">
        <v>11</v>
      </c>
    </row>
    <row r="4" spans="1:13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37"/>
      <c r="L4" s="37"/>
      <c r="M4" s="39"/>
    </row>
    <row r="5" spans="1:12" ht="15">
      <c r="A5" s="41" t="s">
        <v>105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12" t="s">
        <v>520</v>
      </c>
      <c r="B6" s="12" t="s">
        <v>441</v>
      </c>
      <c r="C6" s="12" t="s">
        <v>442</v>
      </c>
      <c r="D6" s="12" t="str">
        <f>"0,5368"</f>
        <v>0,5368</v>
      </c>
      <c r="E6" s="12" t="s">
        <v>44</v>
      </c>
      <c r="F6" s="12" t="s">
        <v>361</v>
      </c>
      <c r="G6" s="13" t="s">
        <v>300</v>
      </c>
      <c r="H6" s="13" t="s">
        <v>184</v>
      </c>
      <c r="I6" s="13" t="s">
        <v>521</v>
      </c>
      <c r="J6" s="14"/>
      <c r="K6" s="12" t="str">
        <f>"145,0"</f>
        <v>145,0</v>
      </c>
      <c r="L6" s="13" t="str">
        <f>"99,7079"</f>
        <v>99,7079</v>
      </c>
      <c r="M6" s="12" t="s">
        <v>52</v>
      </c>
    </row>
    <row r="8" spans="1:12" ht="15">
      <c r="A8" s="42" t="s">
        <v>130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 ht="12.75">
      <c r="A9" s="21" t="s">
        <v>522</v>
      </c>
      <c r="B9" s="21" t="s">
        <v>523</v>
      </c>
      <c r="C9" s="21" t="s">
        <v>524</v>
      </c>
      <c r="D9" s="21" t="str">
        <f>"0,5211"</f>
        <v>0,5211</v>
      </c>
      <c r="E9" s="21" t="s">
        <v>44</v>
      </c>
      <c r="F9" s="21" t="s">
        <v>109</v>
      </c>
      <c r="G9" s="28" t="s">
        <v>302</v>
      </c>
      <c r="H9" s="22" t="s">
        <v>525</v>
      </c>
      <c r="I9" s="28" t="s">
        <v>315</v>
      </c>
      <c r="J9" s="28"/>
      <c r="K9" s="21" t="str">
        <f>"190,0"</f>
        <v>190,0</v>
      </c>
      <c r="L9" s="22" t="str">
        <f>"102,0783"</f>
        <v>102,0783</v>
      </c>
      <c r="M9" s="21" t="s">
        <v>52</v>
      </c>
    </row>
    <row r="10" spans="1:13" ht="12.75">
      <c r="A10" s="24" t="s">
        <v>526</v>
      </c>
      <c r="B10" s="24" t="s">
        <v>527</v>
      </c>
      <c r="C10" s="24" t="s">
        <v>528</v>
      </c>
      <c r="D10" s="24" t="str">
        <f>"0,5314"</f>
        <v>0,5314</v>
      </c>
      <c r="E10" s="24" t="s">
        <v>44</v>
      </c>
      <c r="F10" s="24" t="s">
        <v>425</v>
      </c>
      <c r="G10" s="25" t="s">
        <v>408</v>
      </c>
      <c r="H10" s="25" t="s">
        <v>211</v>
      </c>
      <c r="I10" s="25" t="s">
        <v>429</v>
      </c>
      <c r="J10" s="29"/>
      <c r="K10" s="24" t="str">
        <f>"165,0"</f>
        <v>165,0</v>
      </c>
      <c r="L10" s="25" t="str">
        <f>"88,4701"</f>
        <v>88,4701</v>
      </c>
      <c r="M10" s="24" t="s">
        <v>52</v>
      </c>
    </row>
    <row r="12" ht="15">
      <c r="E12" s="10" t="s">
        <v>18</v>
      </c>
    </row>
    <row r="13" ht="15">
      <c r="E13" s="10" t="s">
        <v>19</v>
      </c>
    </row>
    <row r="14" ht="15">
      <c r="E14" s="10" t="s">
        <v>20</v>
      </c>
    </row>
    <row r="15" ht="15">
      <c r="E15" s="10" t="s">
        <v>21</v>
      </c>
    </row>
    <row r="16" ht="15">
      <c r="E16" s="10" t="s">
        <v>21</v>
      </c>
    </row>
    <row r="17" ht="15">
      <c r="E17" s="10" t="s">
        <v>22</v>
      </c>
    </row>
    <row r="18" ht="15">
      <c r="E18" s="10"/>
    </row>
    <row r="20" spans="1:2" ht="18">
      <c r="A20" s="11" t="s">
        <v>23</v>
      </c>
      <c r="B20" s="11"/>
    </row>
    <row r="21" spans="1:2" ht="15">
      <c r="A21" s="15" t="s">
        <v>53</v>
      </c>
      <c r="B21" s="15"/>
    </row>
    <row r="22" spans="1:2" ht="14.25">
      <c r="A22" s="16"/>
      <c r="B22" s="17" t="s">
        <v>90</v>
      </c>
    </row>
    <row r="23" spans="1:5" ht="15">
      <c r="A23" s="18" t="s">
        <v>55</v>
      </c>
      <c r="B23" s="18" t="s">
        <v>56</v>
      </c>
      <c r="C23" s="18" t="s">
        <v>57</v>
      </c>
      <c r="D23" s="18" t="s">
        <v>58</v>
      </c>
      <c r="E23" s="18" t="s">
        <v>59</v>
      </c>
    </row>
    <row r="24" spans="1:5" ht="12.75">
      <c r="A24" s="19" t="s">
        <v>529</v>
      </c>
      <c r="B24" s="1" t="s">
        <v>164</v>
      </c>
      <c r="C24" s="1" t="s">
        <v>144</v>
      </c>
      <c r="D24" s="1" t="s">
        <v>302</v>
      </c>
      <c r="E24" s="20" t="s">
        <v>530</v>
      </c>
    </row>
    <row r="25" spans="1:5" ht="12.75">
      <c r="A25" s="19" t="s">
        <v>505</v>
      </c>
      <c r="B25" s="1" t="s">
        <v>116</v>
      </c>
      <c r="C25" s="1" t="s">
        <v>117</v>
      </c>
      <c r="D25" s="1" t="s">
        <v>387</v>
      </c>
      <c r="E25" s="20" t="s">
        <v>531</v>
      </c>
    </row>
    <row r="26" spans="1:5" ht="12.75">
      <c r="A26" s="19" t="s">
        <v>532</v>
      </c>
      <c r="B26" s="1" t="s">
        <v>164</v>
      </c>
      <c r="C26" s="1" t="s">
        <v>144</v>
      </c>
      <c r="D26" s="1" t="s">
        <v>429</v>
      </c>
      <c r="E26" s="20" t="s">
        <v>533</v>
      </c>
    </row>
  </sheetData>
  <sheetProtection selectLockedCells="1" selectUnlockedCells="1"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7.7109375" style="1" customWidth="1"/>
    <col min="3" max="3" width="10.57421875" style="1" customWidth="1"/>
    <col min="4" max="4" width="9.28125" style="1" customWidth="1"/>
    <col min="5" max="5" width="22.7109375" style="1" customWidth="1"/>
    <col min="6" max="6" width="29.7109375" style="1" customWidth="1"/>
    <col min="7" max="9" width="6.57421875" style="3" customWidth="1"/>
    <col min="10" max="10" width="4.8515625" style="3" customWidth="1"/>
    <col min="11" max="12" width="6.57421875" style="3" customWidth="1"/>
    <col min="13" max="13" width="5.57421875" style="3" customWidth="1"/>
    <col min="14" max="14" width="4.8515625" style="3" customWidth="1"/>
    <col min="15" max="16" width="6.57421875" style="3" customWidth="1"/>
    <col min="17" max="17" width="5.57421875" style="3" customWidth="1"/>
    <col min="18" max="18" width="4.8515625" style="3" customWidth="1"/>
    <col min="19" max="19" width="7.8515625" style="1" customWidth="1"/>
    <col min="20" max="20" width="8.57421875" style="3" customWidth="1"/>
    <col min="21" max="21" width="8.8515625" style="1" customWidth="1"/>
    <col min="22" max="16384" width="9.140625" style="3" customWidth="1"/>
  </cols>
  <sheetData>
    <row r="1" spans="1:21" s="5" customFormat="1" ht="28.5" customHeight="1">
      <c r="A1" s="40" t="s">
        <v>534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123</v>
      </c>
      <c r="H3" s="38"/>
      <c r="I3" s="38"/>
      <c r="J3" s="38"/>
      <c r="K3" s="38" t="s">
        <v>222</v>
      </c>
      <c r="L3" s="38"/>
      <c r="M3" s="38"/>
      <c r="N3" s="38"/>
      <c r="O3" s="38" t="s">
        <v>154</v>
      </c>
      <c r="P3" s="38"/>
      <c r="Q3" s="38"/>
      <c r="R3" s="38"/>
      <c r="S3" s="37" t="s">
        <v>9</v>
      </c>
      <c r="T3" s="37" t="s">
        <v>10</v>
      </c>
      <c r="U3" s="39" t="s">
        <v>11</v>
      </c>
    </row>
    <row r="4" spans="1:21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7"/>
      <c r="T4" s="37"/>
      <c r="U4" s="39"/>
    </row>
    <row r="5" spans="1:20" ht="15">
      <c r="A5" s="41" t="s">
        <v>72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ht="12.75">
      <c r="A6" s="12" t="s">
        <v>535</v>
      </c>
      <c r="B6" s="12" t="s">
        <v>536</v>
      </c>
      <c r="C6" s="12" t="s">
        <v>292</v>
      </c>
      <c r="D6" s="12" t="str">
        <f>"0,5744"</f>
        <v>0,5744</v>
      </c>
      <c r="E6" s="12" t="s">
        <v>44</v>
      </c>
      <c r="F6" s="12" t="s">
        <v>102</v>
      </c>
      <c r="G6" s="13" t="s">
        <v>182</v>
      </c>
      <c r="H6" s="13" t="s">
        <v>438</v>
      </c>
      <c r="I6" s="13" t="s">
        <v>439</v>
      </c>
      <c r="J6" s="14"/>
      <c r="K6" s="13" t="s">
        <v>182</v>
      </c>
      <c r="L6" s="13" t="s">
        <v>438</v>
      </c>
      <c r="M6" s="14" t="s">
        <v>503</v>
      </c>
      <c r="N6" s="14"/>
      <c r="O6" s="13" t="s">
        <v>438</v>
      </c>
      <c r="P6" s="13" t="s">
        <v>439</v>
      </c>
      <c r="Q6" s="14" t="s">
        <v>302</v>
      </c>
      <c r="R6" s="14"/>
      <c r="S6" s="12" t="str">
        <f>"490.00n"</f>
        <v>490.00n</v>
      </c>
      <c r="T6" s="13" t="str">
        <f>"332,1181"</f>
        <v>332,1181</v>
      </c>
      <c r="U6" s="12" t="s">
        <v>52</v>
      </c>
    </row>
    <row r="8" spans="1:20" ht="15">
      <c r="A8" s="42" t="s">
        <v>105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1" ht="12.75">
      <c r="A9" s="12" t="s">
        <v>537</v>
      </c>
      <c r="B9" s="12" t="s">
        <v>538</v>
      </c>
      <c r="C9" s="12" t="s">
        <v>539</v>
      </c>
      <c r="D9" s="12" t="str">
        <f>"0,5441"</f>
        <v>0,5441</v>
      </c>
      <c r="E9" s="12" t="s">
        <v>171</v>
      </c>
      <c r="F9" s="12" t="s">
        <v>102</v>
      </c>
      <c r="G9" s="13" t="s">
        <v>301</v>
      </c>
      <c r="H9" s="13" t="s">
        <v>293</v>
      </c>
      <c r="I9" s="13" t="s">
        <v>248</v>
      </c>
      <c r="J9" s="14"/>
      <c r="K9" s="13" t="s">
        <v>178</v>
      </c>
      <c r="L9" s="13" t="s">
        <v>165</v>
      </c>
      <c r="M9" s="14" t="s">
        <v>540</v>
      </c>
      <c r="N9" s="14"/>
      <c r="O9" s="13" t="s">
        <v>301</v>
      </c>
      <c r="P9" s="13" t="s">
        <v>178</v>
      </c>
      <c r="Q9" s="13" t="s">
        <v>189</v>
      </c>
      <c r="R9" s="14"/>
      <c r="S9" s="12" t="str">
        <f>"720,0"</f>
        <v>720,0</v>
      </c>
      <c r="T9" s="13" t="str">
        <f>"391,7520"</f>
        <v>391,7520</v>
      </c>
      <c r="U9" s="12" t="s">
        <v>52</v>
      </c>
    </row>
    <row r="11" ht="15">
      <c r="E11" s="10" t="s">
        <v>18</v>
      </c>
    </row>
    <row r="12" ht="15">
      <c r="E12" s="10" t="s">
        <v>19</v>
      </c>
    </row>
    <row r="13" ht="15">
      <c r="E13" s="10" t="s">
        <v>20</v>
      </c>
    </row>
    <row r="14" ht="15">
      <c r="E14" s="10" t="s">
        <v>21</v>
      </c>
    </row>
    <row r="15" ht="15">
      <c r="E15" s="10" t="s">
        <v>21</v>
      </c>
    </row>
    <row r="16" ht="15">
      <c r="E16" s="10" t="s">
        <v>22</v>
      </c>
    </row>
    <row r="17" ht="15">
      <c r="E17" s="10"/>
    </row>
    <row r="19" spans="1:2" ht="18">
      <c r="A19" s="11" t="s">
        <v>23</v>
      </c>
      <c r="B19" s="11"/>
    </row>
    <row r="20" spans="1:2" ht="15">
      <c r="A20" s="15" t="s">
        <v>53</v>
      </c>
      <c r="B20" s="15"/>
    </row>
    <row r="21" spans="1:2" ht="14.25">
      <c r="A21" s="16"/>
      <c r="B21" s="17" t="s">
        <v>466</v>
      </c>
    </row>
    <row r="22" spans="1:5" ht="15">
      <c r="A22" s="18" t="s">
        <v>55</v>
      </c>
      <c r="B22" s="18" t="s">
        <v>56</v>
      </c>
      <c r="C22" s="18" t="s">
        <v>57</v>
      </c>
      <c r="D22" s="18" t="s">
        <v>58</v>
      </c>
      <c r="E22" s="18" t="s">
        <v>59</v>
      </c>
    </row>
    <row r="23" spans="1:5" ht="12.75">
      <c r="A23" s="19" t="s">
        <v>541</v>
      </c>
      <c r="B23" s="1" t="s">
        <v>542</v>
      </c>
      <c r="C23" s="1" t="s">
        <v>84</v>
      </c>
      <c r="D23" s="1" t="s">
        <v>543</v>
      </c>
      <c r="E23" s="20" t="s">
        <v>544</v>
      </c>
    </row>
    <row r="25" spans="1:2" ht="14.25">
      <c r="A25" s="16"/>
      <c r="B25" s="17" t="s">
        <v>54</v>
      </c>
    </row>
    <row r="26" spans="1:5" ht="15">
      <c r="A26" s="18" t="s">
        <v>55</v>
      </c>
      <c r="B26" s="18" t="s">
        <v>56</v>
      </c>
      <c r="C26" s="18" t="s">
        <v>57</v>
      </c>
      <c r="D26" s="18" t="s">
        <v>58</v>
      </c>
      <c r="E26" s="18" t="s">
        <v>59</v>
      </c>
    </row>
    <row r="27" spans="1:5" ht="12.75">
      <c r="A27" s="19" t="s">
        <v>545</v>
      </c>
      <c r="B27" s="1" t="s">
        <v>54</v>
      </c>
      <c r="C27" s="1" t="s">
        <v>117</v>
      </c>
      <c r="D27" s="1" t="s">
        <v>546</v>
      </c>
      <c r="E27" s="20" t="s">
        <v>547</v>
      </c>
    </row>
  </sheetData>
  <sheetProtection selectLockedCells="1" selectUnlockedCells="1"/>
  <mergeCells count="15">
    <mergeCell ref="S3:S4"/>
    <mergeCell ref="T3:T4"/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8.57421875" style="1" customWidth="1"/>
    <col min="3" max="3" width="10.57421875" style="1" customWidth="1"/>
    <col min="4" max="4" width="9.28125" style="1" customWidth="1"/>
    <col min="5" max="5" width="22.7109375" style="1" customWidth="1"/>
    <col min="6" max="6" width="29.7109375" style="1" customWidth="1"/>
    <col min="7" max="9" width="5.57421875" style="3" customWidth="1"/>
    <col min="10" max="10" width="4.8515625" style="3" customWidth="1"/>
    <col min="11" max="13" width="5.57421875" style="3" customWidth="1"/>
    <col min="14" max="14" width="4.8515625" style="3" customWidth="1"/>
    <col min="15" max="16" width="5.57421875" style="3" customWidth="1"/>
    <col min="17" max="17" width="6.57421875" style="3" customWidth="1"/>
    <col min="18" max="18" width="4.8515625" style="3" customWidth="1"/>
    <col min="19" max="19" width="7.8515625" style="1" customWidth="1"/>
    <col min="20" max="20" width="8.57421875" style="3" customWidth="1"/>
    <col min="21" max="21" width="8.8515625" style="1" customWidth="1"/>
    <col min="22" max="16384" width="9.140625" style="3" customWidth="1"/>
  </cols>
  <sheetData>
    <row r="1" spans="1:21" s="5" customFormat="1" ht="28.5" customHeight="1">
      <c r="A1" s="40" t="s">
        <v>548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123</v>
      </c>
      <c r="H3" s="38"/>
      <c r="I3" s="38"/>
      <c r="J3" s="38"/>
      <c r="K3" s="38" t="s">
        <v>222</v>
      </c>
      <c r="L3" s="38"/>
      <c r="M3" s="38"/>
      <c r="N3" s="38"/>
      <c r="O3" s="38" t="s">
        <v>154</v>
      </c>
      <c r="P3" s="38"/>
      <c r="Q3" s="38"/>
      <c r="R3" s="38"/>
      <c r="S3" s="37" t="s">
        <v>9</v>
      </c>
      <c r="T3" s="37" t="s">
        <v>10</v>
      </c>
      <c r="U3" s="39" t="s">
        <v>11</v>
      </c>
    </row>
    <row r="4" spans="1:21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7"/>
      <c r="T4" s="37"/>
      <c r="U4" s="39"/>
    </row>
    <row r="5" spans="1:20" ht="15">
      <c r="A5" s="41" t="s">
        <v>351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ht="12.75">
      <c r="A6" s="12" t="s">
        <v>549</v>
      </c>
      <c r="B6" s="12" t="s">
        <v>550</v>
      </c>
      <c r="C6" s="12" t="s">
        <v>551</v>
      </c>
      <c r="D6" s="12" t="str">
        <f>"0,8153"</f>
        <v>0,8153</v>
      </c>
      <c r="E6" s="12" t="s">
        <v>44</v>
      </c>
      <c r="F6" s="12" t="s">
        <v>102</v>
      </c>
      <c r="G6" s="13" t="s">
        <v>129</v>
      </c>
      <c r="H6" s="14" t="s">
        <v>48</v>
      </c>
      <c r="I6" s="13" t="s">
        <v>367</v>
      </c>
      <c r="J6" s="14"/>
      <c r="K6" s="13" t="s">
        <v>552</v>
      </c>
      <c r="L6" s="13" t="s">
        <v>553</v>
      </c>
      <c r="M6" s="14" t="s">
        <v>554</v>
      </c>
      <c r="N6" s="14"/>
      <c r="O6" s="13" t="s">
        <v>367</v>
      </c>
      <c r="P6" s="13" t="s">
        <v>555</v>
      </c>
      <c r="Q6" s="13" t="s">
        <v>556</v>
      </c>
      <c r="R6" s="14"/>
      <c r="S6" s="12" t="str">
        <f>"250.00n"</f>
        <v>250.00n</v>
      </c>
      <c r="T6" s="13" t="str">
        <f>"207,5066"</f>
        <v>207,5066</v>
      </c>
      <c r="U6" s="12" t="s">
        <v>52</v>
      </c>
    </row>
    <row r="8" spans="1:20" ht="15">
      <c r="A8" s="42" t="s">
        <v>97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1" ht="12.75">
      <c r="A9" s="12" t="s">
        <v>557</v>
      </c>
      <c r="B9" s="12" t="s">
        <v>558</v>
      </c>
      <c r="C9" s="12" t="s">
        <v>282</v>
      </c>
      <c r="D9" s="12" t="str">
        <f>"0,5853"</f>
        <v>0,5853</v>
      </c>
      <c r="E9" s="12" t="s">
        <v>559</v>
      </c>
      <c r="F9" s="12" t="s">
        <v>560</v>
      </c>
      <c r="G9" s="13" t="s">
        <v>165</v>
      </c>
      <c r="H9" s="14" t="s">
        <v>561</v>
      </c>
      <c r="I9" s="14" t="s">
        <v>561</v>
      </c>
      <c r="J9" s="14"/>
      <c r="K9" s="13" t="s">
        <v>310</v>
      </c>
      <c r="L9" s="13" t="s">
        <v>562</v>
      </c>
      <c r="M9" s="13" t="s">
        <v>248</v>
      </c>
      <c r="N9" s="14"/>
      <c r="O9" s="14" t="s">
        <v>563</v>
      </c>
      <c r="P9" s="13" t="s">
        <v>563</v>
      </c>
      <c r="Q9" s="14" t="s">
        <v>561</v>
      </c>
      <c r="R9" s="14"/>
      <c r="S9" s="12" t="str">
        <f>"715,0"</f>
        <v>715,0</v>
      </c>
      <c r="T9" s="13" t="str">
        <f>"418,4895"</f>
        <v>418,4895</v>
      </c>
      <c r="U9" s="12" t="s">
        <v>52</v>
      </c>
    </row>
    <row r="11" ht="15">
      <c r="E11" s="10" t="s">
        <v>18</v>
      </c>
    </row>
    <row r="12" ht="15">
      <c r="E12" s="10" t="s">
        <v>19</v>
      </c>
    </row>
    <row r="13" ht="15">
      <c r="E13" s="10" t="s">
        <v>20</v>
      </c>
    </row>
    <row r="14" ht="15">
      <c r="E14" s="10" t="s">
        <v>21</v>
      </c>
    </row>
    <row r="15" ht="15">
      <c r="E15" s="10" t="s">
        <v>21</v>
      </c>
    </row>
    <row r="16" ht="15">
      <c r="E16" s="10" t="s">
        <v>22</v>
      </c>
    </row>
    <row r="17" ht="15">
      <c r="E17" s="10"/>
    </row>
    <row r="19" spans="1:2" ht="18">
      <c r="A19" s="11" t="s">
        <v>23</v>
      </c>
      <c r="B19" s="11"/>
    </row>
    <row r="20" spans="1:2" ht="15">
      <c r="A20" s="15" t="s">
        <v>139</v>
      </c>
      <c r="B20" s="15"/>
    </row>
    <row r="21" spans="1:2" ht="14.25">
      <c r="A21" s="16"/>
      <c r="B21" s="17" t="s">
        <v>90</v>
      </c>
    </row>
    <row r="22" spans="1:5" ht="15">
      <c r="A22" s="18" t="s">
        <v>55</v>
      </c>
      <c r="B22" s="18" t="s">
        <v>56</v>
      </c>
      <c r="C22" s="18" t="s">
        <v>57</v>
      </c>
      <c r="D22" s="18" t="s">
        <v>58</v>
      </c>
      <c r="E22" s="18" t="s">
        <v>59</v>
      </c>
    </row>
    <row r="23" spans="1:5" ht="12.75">
      <c r="A23" s="19" t="s">
        <v>564</v>
      </c>
      <c r="B23" s="1" t="s">
        <v>164</v>
      </c>
      <c r="C23" s="1" t="s">
        <v>461</v>
      </c>
      <c r="D23" s="1" t="s">
        <v>165</v>
      </c>
      <c r="E23" s="20" t="s">
        <v>565</v>
      </c>
    </row>
    <row r="26" spans="1:2" ht="15">
      <c r="A26" s="15" t="s">
        <v>53</v>
      </c>
      <c r="B26" s="15"/>
    </row>
    <row r="27" spans="1:2" ht="14.25">
      <c r="A27" s="16"/>
      <c r="B27" s="17" t="s">
        <v>54</v>
      </c>
    </row>
    <row r="28" spans="1:5" ht="15">
      <c r="A28" s="18" t="s">
        <v>55</v>
      </c>
      <c r="B28" s="18" t="s">
        <v>56</v>
      </c>
      <c r="C28" s="18" t="s">
        <v>57</v>
      </c>
      <c r="D28" s="18" t="s">
        <v>58</v>
      </c>
      <c r="E28" s="18" t="s">
        <v>59</v>
      </c>
    </row>
    <row r="29" spans="1:5" ht="12.75">
      <c r="A29" s="19" t="s">
        <v>566</v>
      </c>
      <c r="B29" s="1" t="s">
        <v>54</v>
      </c>
      <c r="C29" s="1" t="s">
        <v>103</v>
      </c>
      <c r="D29" s="1" t="s">
        <v>567</v>
      </c>
      <c r="E29" s="20" t="s">
        <v>568</v>
      </c>
    </row>
  </sheetData>
  <sheetProtection selectLockedCells="1" selectUnlockedCells="1"/>
  <mergeCells count="15">
    <mergeCell ref="S3:S4"/>
    <mergeCell ref="T3:T4"/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10.57421875" style="1" customWidth="1"/>
    <col min="4" max="4" width="9.28125" style="1" customWidth="1"/>
    <col min="5" max="5" width="22.7109375" style="1" customWidth="1"/>
    <col min="6" max="6" width="17.28125" style="1" customWidth="1"/>
    <col min="7" max="9" width="5.57421875" style="3" customWidth="1"/>
    <col min="10" max="10" width="4.8515625" style="3" customWidth="1"/>
    <col min="11" max="13" width="5.57421875" style="3" customWidth="1"/>
    <col min="14" max="14" width="4.8515625" style="3" customWidth="1"/>
    <col min="15" max="17" width="5.57421875" style="3" customWidth="1"/>
    <col min="18" max="18" width="4.8515625" style="3" customWidth="1"/>
    <col min="19" max="19" width="7.8515625" style="1" customWidth="1"/>
    <col min="20" max="20" width="8.57421875" style="3" customWidth="1"/>
    <col min="21" max="21" width="15.140625" style="1" customWidth="1"/>
    <col min="22" max="16384" width="9.140625" style="3" customWidth="1"/>
  </cols>
  <sheetData>
    <row r="1" spans="1:21" s="5" customFormat="1" ht="28.5" customHeight="1">
      <c r="A1" s="40" t="s">
        <v>569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123</v>
      </c>
      <c r="H3" s="38"/>
      <c r="I3" s="38"/>
      <c r="J3" s="38"/>
      <c r="K3" s="38" t="s">
        <v>222</v>
      </c>
      <c r="L3" s="38"/>
      <c r="M3" s="38"/>
      <c r="N3" s="38"/>
      <c r="O3" s="38" t="s">
        <v>154</v>
      </c>
      <c r="P3" s="38"/>
      <c r="Q3" s="38"/>
      <c r="R3" s="38"/>
      <c r="S3" s="37" t="s">
        <v>9</v>
      </c>
      <c r="T3" s="37" t="s">
        <v>10</v>
      </c>
      <c r="U3" s="39" t="s">
        <v>11</v>
      </c>
    </row>
    <row r="4" spans="1:21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7"/>
      <c r="T4" s="37"/>
      <c r="U4" s="39"/>
    </row>
    <row r="5" spans="1:20" ht="15">
      <c r="A5" s="41" t="s">
        <v>72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ht="12.75">
      <c r="A6" s="12" t="s">
        <v>570</v>
      </c>
      <c r="B6" s="12" t="s">
        <v>571</v>
      </c>
      <c r="C6" s="12" t="s">
        <v>572</v>
      </c>
      <c r="D6" s="12" t="str">
        <f>"0,5540"</f>
        <v>0,5540</v>
      </c>
      <c r="E6" s="12" t="s">
        <v>573</v>
      </c>
      <c r="F6" s="12" t="s">
        <v>234</v>
      </c>
      <c r="G6" s="13" t="s">
        <v>165</v>
      </c>
      <c r="H6" s="14" t="s">
        <v>561</v>
      </c>
      <c r="I6" s="14" t="s">
        <v>561</v>
      </c>
      <c r="J6" s="14"/>
      <c r="K6" s="13" t="s">
        <v>216</v>
      </c>
      <c r="L6" s="13" t="s">
        <v>302</v>
      </c>
      <c r="M6" s="14" t="s">
        <v>574</v>
      </c>
      <c r="N6" s="14"/>
      <c r="O6" s="13" t="s">
        <v>136</v>
      </c>
      <c r="P6" s="14" t="s">
        <v>161</v>
      </c>
      <c r="Q6" s="14"/>
      <c r="R6" s="14"/>
      <c r="S6" s="12" t="str">
        <f>"730,0"</f>
        <v>730,0</v>
      </c>
      <c r="T6" s="13" t="str">
        <f>"404,4200"</f>
        <v>404,4200</v>
      </c>
      <c r="U6" s="12" t="s">
        <v>575</v>
      </c>
    </row>
    <row r="8" spans="1:20" ht="15">
      <c r="A8" s="42" t="s">
        <v>130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1" ht="12.75">
      <c r="A9" s="12" t="s">
        <v>131</v>
      </c>
      <c r="B9" s="12" t="s">
        <v>132</v>
      </c>
      <c r="C9" s="12" t="s">
        <v>133</v>
      </c>
      <c r="D9" s="12" t="str">
        <f>"0,5288"</f>
        <v>0,5288</v>
      </c>
      <c r="E9" s="12" t="s">
        <v>134</v>
      </c>
      <c r="F9" s="12" t="s">
        <v>135</v>
      </c>
      <c r="G9" s="13" t="s">
        <v>136</v>
      </c>
      <c r="H9" s="13" t="s">
        <v>137</v>
      </c>
      <c r="I9" s="14" t="s">
        <v>138</v>
      </c>
      <c r="J9" s="14"/>
      <c r="K9" s="13" t="s">
        <v>211</v>
      </c>
      <c r="L9" s="13" t="s">
        <v>503</v>
      </c>
      <c r="M9" s="13" t="s">
        <v>301</v>
      </c>
      <c r="N9" s="14"/>
      <c r="O9" s="13" t="s">
        <v>160</v>
      </c>
      <c r="P9" s="13" t="s">
        <v>161</v>
      </c>
      <c r="Q9" s="14" t="s">
        <v>137</v>
      </c>
      <c r="R9" s="14"/>
      <c r="S9" s="12" t="str">
        <f>"790,0"</f>
        <v>790,0</v>
      </c>
      <c r="T9" s="13" t="str">
        <f>"417,7520"</f>
        <v>417,7520</v>
      </c>
      <c r="U9" s="12" t="s">
        <v>52</v>
      </c>
    </row>
    <row r="11" ht="15">
      <c r="E11" s="10" t="s">
        <v>18</v>
      </c>
    </row>
    <row r="12" ht="15">
      <c r="E12" s="10" t="s">
        <v>19</v>
      </c>
    </row>
    <row r="13" ht="15">
      <c r="E13" s="10" t="s">
        <v>20</v>
      </c>
    </row>
    <row r="14" ht="15">
      <c r="E14" s="10" t="s">
        <v>21</v>
      </c>
    </row>
    <row r="15" ht="15">
      <c r="E15" s="10" t="s">
        <v>21</v>
      </c>
    </row>
    <row r="16" ht="15">
      <c r="E16" s="10" t="s">
        <v>22</v>
      </c>
    </row>
    <row r="17" ht="15">
      <c r="E17" s="10"/>
    </row>
    <row r="19" spans="1:2" ht="18">
      <c r="A19" s="11" t="s">
        <v>23</v>
      </c>
      <c r="B19" s="11"/>
    </row>
    <row r="20" spans="1:2" ht="15">
      <c r="A20" s="15" t="s">
        <v>53</v>
      </c>
      <c r="B20" s="15"/>
    </row>
    <row r="21" spans="1:2" ht="14.25">
      <c r="A21" s="16"/>
      <c r="B21" s="17" t="s">
        <v>54</v>
      </c>
    </row>
    <row r="22" spans="1:5" ht="15">
      <c r="A22" s="18" t="s">
        <v>55</v>
      </c>
      <c r="B22" s="18" t="s">
        <v>56</v>
      </c>
      <c r="C22" s="18" t="s">
        <v>57</v>
      </c>
      <c r="D22" s="18" t="s">
        <v>58</v>
      </c>
      <c r="E22" s="18" t="s">
        <v>59</v>
      </c>
    </row>
    <row r="23" spans="1:5" ht="12.75">
      <c r="A23" s="19" t="s">
        <v>143</v>
      </c>
      <c r="B23" s="1" t="s">
        <v>54</v>
      </c>
      <c r="C23" s="1" t="s">
        <v>144</v>
      </c>
      <c r="D23" s="1" t="s">
        <v>576</v>
      </c>
      <c r="E23" s="20" t="s">
        <v>577</v>
      </c>
    </row>
    <row r="24" spans="1:5" ht="12.75">
      <c r="A24" s="19" t="s">
        <v>578</v>
      </c>
      <c r="B24" s="1" t="s">
        <v>54</v>
      </c>
      <c r="C24" s="1" t="s">
        <v>84</v>
      </c>
      <c r="D24" s="1" t="s">
        <v>579</v>
      </c>
      <c r="E24" s="20" t="s">
        <v>580</v>
      </c>
    </row>
  </sheetData>
  <sheetProtection selectLockedCells="1" selectUnlockedCells="1"/>
  <mergeCells count="15">
    <mergeCell ref="S3:S4"/>
    <mergeCell ref="T3:T4"/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8.57421875" style="1" customWidth="1"/>
    <col min="3" max="3" width="10.57421875" style="1" customWidth="1"/>
    <col min="4" max="4" width="9.28125" style="1" customWidth="1"/>
    <col min="5" max="5" width="22.7109375" style="1" customWidth="1"/>
    <col min="6" max="6" width="30.28125" style="1" customWidth="1"/>
    <col min="7" max="9" width="5.57421875" style="3" customWidth="1"/>
    <col min="10" max="10" width="4.8515625" style="3" customWidth="1"/>
    <col min="11" max="11" width="6.57421875" style="3" customWidth="1"/>
    <col min="12" max="13" width="5.57421875" style="3" customWidth="1"/>
    <col min="14" max="14" width="4.8515625" style="3" customWidth="1"/>
    <col min="15" max="17" width="6.57421875" style="3" customWidth="1"/>
    <col min="18" max="18" width="4.8515625" style="3" customWidth="1"/>
    <col min="19" max="19" width="7.8515625" style="1" customWidth="1"/>
    <col min="20" max="20" width="8.57421875" style="3" customWidth="1"/>
    <col min="21" max="21" width="9.421875" style="1" customWidth="1"/>
    <col min="22" max="16384" width="9.140625" style="3" customWidth="1"/>
  </cols>
  <sheetData>
    <row r="1" spans="1:21" s="5" customFormat="1" ht="28.5" customHeight="1">
      <c r="A1" s="40" t="s">
        <v>581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123</v>
      </c>
      <c r="H3" s="38"/>
      <c r="I3" s="38"/>
      <c r="J3" s="38"/>
      <c r="K3" s="38" t="s">
        <v>222</v>
      </c>
      <c r="L3" s="38"/>
      <c r="M3" s="38"/>
      <c r="N3" s="38"/>
      <c r="O3" s="38" t="s">
        <v>154</v>
      </c>
      <c r="P3" s="38"/>
      <c r="Q3" s="38"/>
      <c r="R3" s="38"/>
      <c r="S3" s="37" t="s">
        <v>9</v>
      </c>
      <c r="T3" s="37" t="s">
        <v>10</v>
      </c>
      <c r="U3" s="39" t="s">
        <v>11</v>
      </c>
    </row>
    <row r="4" spans="1:21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7"/>
      <c r="T4" s="37"/>
      <c r="U4" s="39"/>
    </row>
    <row r="5" spans="1:20" ht="15">
      <c r="A5" s="41" t="s">
        <v>251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ht="12.75">
      <c r="A6" s="21" t="s">
        <v>582</v>
      </c>
      <c r="B6" s="21" t="s">
        <v>583</v>
      </c>
      <c r="C6" s="21" t="s">
        <v>584</v>
      </c>
      <c r="D6" s="21" t="str">
        <f>"0,7449"</f>
        <v>0,7449</v>
      </c>
      <c r="E6" s="21" t="s">
        <v>348</v>
      </c>
      <c r="F6" s="21" t="s">
        <v>349</v>
      </c>
      <c r="G6" s="22" t="s">
        <v>84</v>
      </c>
      <c r="H6" s="22" t="s">
        <v>386</v>
      </c>
      <c r="I6" s="22" t="s">
        <v>117</v>
      </c>
      <c r="J6" s="28"/>
      <c r="K6" s="22" t="s">
        <v>585</v>
      </c>
      <c r="L6" s="28" t="s">
        <v>554</v>
      </c>
      <c r="M6" s="28" t="s">
        <v>554</v>
      </c>
      <c r="N6" s="28"/>
      <c r="O6" s="22" t="s">
        <v>586</v>
      </c>
      <c r="P6" s="22" t="s">
        <v>289</v>
      </c>
      <c r="Q6" s="28"/>
      <c r="R6" s="28"/>
      <c r="S6" s="21" t="str">
        <f>"287,5"</f>
        <v>287,5</v>
      </c>
      <c r="T6" s="22" t="str">
        <f>"214,1587"</f>
        <v>214,1587</v>
      </c>
      <c r="U6" s="21" t="s">
        <v>350</v>
      </c>
    </row>
    <row r="7" spans="1:21" ht="12.75">
      <c r="A7" s="24" t="s">
        <v>587</v>
      </c>
      <c r="B7" s="24" t="s">
        <v>588</v>
      </c>
      <c r="C7" s="24" t="s">
        <v>379</v>
      </c>
      <c r="D7" s="24" t="str">
        <f>"0,7362"</f>
        <v>0,7362</v>
      </c>
      <c r="E7" s="24" t="s">
        <v>44</v>
      </c>
      <c r="F7" s="24" t="s">
        <v>45</v>
      </c>
      <c r="G7" s="25" t="s">
        <v>589</v>
      </c>
      <c r="H7" s="25" t="s">
        <v>367</v>
      </c>
      <c r="I7" s="29" t="s">
        <v>590</v>
      </c>
      <c r="J7" s="29"/>
      <c r="K7" s="25" t="s">
        <v>591</v>
      </c>
      <c r="L7" s="29" t="s">
        <v>51</v>
      </c>
      <c r="M7" s="25" t="s">
        <v>592</v>
      </c>
      <c r="N7" s="29"/>
      <c r="O7" s="25" t="s">
        <v>556</v>
      </c>
      <c r="P7" s="25" t="s">
        <v>110</v>
      </c>
      <c r="Q7" s="25" t="s">
        <v>593</v>
      </c>
      <c r="R7" s="29"/>
      <c r="S7" s="24" t="str">
        <f>"262.50n"</f>
        <v>262.50n</v>
      </c>
      <c r="T7" s="25" t="str">
        <f>"193,2394"</f>
        <v>193,2394</v>
      </c>
      <c r="U7" s="24" t="s">
        <v>52</v>
      </c>
    </row>
    <row r="9" spans="1:20" ht="15">
      <c r="A9" s="42" t="s">
        <v>40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1" ht="12.75">
      <c r="A10" s="12" t="s">
        <v>357</v>
      </c>
      <c r="B10" s="12" t="s">
        <v>358</v>
      </c>
      <c r="C10" s="12" t="s">
        <v>359</v>
      </c>
      <c r="D10" s="12" t="str">
        <f>"0,6965"</f>
        <v>0,6965</v>
      </c>
      <c r="E10" s="12" t="s">
        <v>360</v>
      </c>
      <c r="F10" s="12" t="s">
        <v>361</v>
      </c>
      <c r="G10" s="13" t="s">
        <v>594</v>
      </c>
      <c r="H10" s="14" t="s">
        <v>300</v>
      </c>
      <c r="I10" s="13" t="s">
        <v>300</v>
      </c>
      <c r="J10" s="14"/>
      <c r="K10" s="13" t="s">
        <v>46</v>
      </c>
      <c r="L10" s="13" t="s">
        <v>128</v>
      </c>
      <c r="M10" s="13" t="s">
        <v>47</v>
      </c>
      <c r="N10" s="14"/>
      <c r="O10" s="13" t="s">
        <v>429</v>
      </c>
      <c r="P10" s="13" t="s">
        <v>299</v>
      </c>
      <c r="Q10" s="13" t="s">
        <v>503</v>
      </c>
      <c r="R10" s="14"/>
      <c r="S10" s="12" t="str">
        <f>"385,0"</f>
        <v>385,0</v>
      </c>
      <c r="T10" s="13" t="str">
        <f>"299,5263"</f>
        <v>299,5263</v>
      </c>
      <c r="U10" s="12" t="s">
        <v>52</v>
      </c>
    </row>
    <row r="12" spans="1:20" ht="15">
      <c r="A12" s="42" t="s">
        <v>251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1" ht="12.75">
      <c r="A13" s="12" t="s">
        <v>595</v>
      </c>
      <c r="B13" s="12" t="s">
        <v>596</v>
      </c>
      <c r="C13" s="12" t="s">
        <v>597</v>
      </c>
      <c r="D13" s="12" t="str">
        <f>"0,7110"</f>
        <v>0,7110</v>
      </c>
      <c r="E13" s="12" t="s">
        <v>44</v>
      </c>
      <c r="F13" s="12" t="s">
        <v>102</v>
      </c>
      <c r="G13" s="13" t="s">
        <v>61</v>
      </c>
      <c r="H13" s="13" t="s">
        <v>103</v>
      </c>
      <c r="I13" s="13" t="s">
        <v>386</v>
      </c>
      <c r="J13" s="14"/>
      <c r="K13" s="13" t="s">
        <v>341</v>
      </c>
      <c r="L13" s="13" t="s">
        <v>46</v>
      </c>
      <c r="M13" s="14" t="s">
        <v>47</v>
      </c>
      <c r="N13" s="14"/>
      <c r="O13" s="13" t="s">
        <v>598</v>
      </c>
      <c r="P13" s="13" t="s">
        <v>144</v>
      </c>
      <c r="Q13" s="13" t="s">
        <v>183</v>
      </c>
      <c r="R13" s="14"/>
      <c r="S13" s="12" t="str">
        <f>"315.00n"</f>
        <v>315.00n</v>
      </c>
      <c r="T13" s="13" t="str">
        <f>"241,8822"</f>
        <v>241,8822</v>
      </c>
      <c r="U13" s="12" t="s">
        <v>52</v>
      </c>
    </row>
    <row r="15" spans="1:20" ht="15">
      <c r="A15" s="42" t="s">
        <v>97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1" ht="12.75">
      <c r="A16" s="12" t="s">
        <v>599</v>
      </c>
      <c r="B16" s="12" t="s">
        <v>600</v>
      </c>
      <c r="C16" s="12" t="s">
        <v>282</v>
      </c>
      <c r="D16" s="12" t="str">
        <f>"0,5853"</f>
        <v>0,5853</v>
      </c>
      <c r="E16" s="12" t="s">
        <v>573</v>
      </c>
      <c r="F16" s="12" t="s">
        <v>413</v>
      </c>
      <c r="G16" s="13" t="s">
        <v>429</v>
      </c>
      <c r="H16" s="13" t="s">
        <v>503</v>
      </c>
      <c r="I16" s="13" t="s">
        <v>306</v>
      </c>
      <c r="J16" s="14"/>
      <c r="K16" s="13" t="s">
        <v>380</v>
      </c>
      <c r="L16" s="13" t="s">
        <v>144</v>
      </c>
      <c r="M16" s="14" t="s">
        <v>594</v>
      </c>
      <c r="N16" s="14"/>
      <c r="O16" s="13" t="s">
        <v>310</v>
      </c>
      <c r="P16" s="14" t="s">
        <v>176</v>
      </c>
      <c r="Q16" s="14" t="s">
        <v>176</v>
      </c>
      <c r="R16" s="14"/>
      <c r="S16" s="12" t="str">
        <f>"505,0"</f>
        <v>505,0</v>
      </c>
      <c r="T16" s="13" t="str">
        <f>"295,5765"</f>
        <v>295,5765</v>
      </c>
      <c r="U16" s="12" t="s">
        <v>52</v>
      </c>
    </row>
    <row r="18" spans="1:20" ht="15">
      <c r="A18" s="42" t="s">
        <v>72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1" ht="12.75">
      <c r="A19" s="21" t="s">
        <v>414</v>
      </c>
      <c r="B19" s="21" t="s">
        <v>415</v>
      </c>
      <c r="C19" s="21" t="s">
        <v>416</v>
      </c>
      <c r="D19" s="21" t="str">
        <f>"0,5619"</f>
        <v>0,5619</v>
      </c>
      <c r="E19" s="21" t="s">
        <v>44</v>
      </c>
      <c r="F19" s="21" t="s">
        <v>109</v>
      </c>
      <c r="G19" s="22" t="s">
        <v>306</v>
      </c>
      <c r="H19" s="28" t="s">
        <v>285</v>
      </c>
      <c r="I19" s="22" t="s">
        <v>285</v>
      </c>
      <c r="J19" s="28"/>
      <c r="K19" s="22" t="s">
        <v>403</v>
      </c>
      <c r="L19" s="28" t="s">
        <v>258</v>
      </c>
      <c r="M19" s="28"/>
      <c r="N19" s="28"/>
      <c r="O19" s="22" t="s">
        <v>302</v>
      </c>
      <c r="P19" s="22" t="s">
        <v>293</v>
      </c>
      <c r="Q19" s="22" t="s">
        <v>295</v>
      </c>
      <c r="R19" s="28"/>
      <c r="S19" s="21" t="str">
        <f>"545,0"</f>
        <v>545,0</v>
      </c>
      <c r="T19" s="22" t="str">
        <f>"330,7344"</f>
        <v>330,7344</v>
      </c>
      <c r="U19" s="21" t="s">
        <v>52</v>
      </c>
    </row>
    <row r="20" spans="1:21" ht="12.75">
      <c r="A20" s="30" t="s">
        <v>601</v>
      </c>
      <c r="B20" s="30" t="s">
        <v>602</v>
      </c>
      <c r="C20" s="30" t="s">
        <v>603</v>
      </c>
      <c r="D20" s="30" t="str">
        <f>"0,5550"</f>
        <v>0,5550</v>
      </c>
      <c r="E20" s="30" t="s">
        <v>573</v>
      </c>
      <c r="F20" s="30" t="s">
        <v>560</v>
      </c>
      <c r="G20" s="31" t="s">
        <v>248</v>
      </c>
      <c r="H20" s="32" t="s">
        <v>248</v>
      </c>
      <c r="I20" s="31" t="s">
        <v>563</v>
      </c>
      <c r="J20" s="31"/>
      <c r="K20" s="32" t="s">
        <v>408</v>
      </c>
      <c r="L20" s="32" t="s">
        <v>211</v>
      </c>
      <c r="M20" s="31" t="s">
        <v>429</v>
      </c>
      <c r="N20" s="31"/>
      <c r="O20" s="32" t="s">
        <v>248</v>
      </c>
      <c r="P20" s="31" t="s">
        <v>189</v>
      </c>
      <c r="Q20" s="31"/>
      <c r="R20" s="31"/>
      <c r="S20" s="30" t="str">
        <f>"620,0"</f>
        <v>620,0</v>
      </c>
      <c r="T20" s="32" t="str">
        <f>"344,1000"</f>
        <v>344,1000</v>
      </c>
      <c r="U20" s="30" t="s">
        <v>52</v>
      </c>
    </row>
    <row r="21" spans="1:21" ht="12.75">
      <c r="A21" s="24" t="s">
        <v>604</v>
      </c>
      <c r="B21" s="24" t="s">
        <v>605</v>
      </c>
      <c r="C21" s="24" t="s">
        <v>606</v>
      </c>
      <c r="D21" s="24" t="str">
        <f>"0,5575"</f>
        <v>0,5575</v>
      </c>
      <c r="E21" s="24" t="s">
        <v>348</v>
      </c>
      <c r="F21" s="24" t="s">
        <v>349</v>
      </c>
      <c r="G21" s="25" t="s">
        <v>503</v>
      </c>
      <c r="H21" s="25" t="s">
        <v>301</v>
      </c>
      <c r="I21" s="25" t="s">
        <v>607</v>
      </c>
      <c r="J21" s="29"/>
      <c r="K21" s="25" t="s">
        <v>300</v>
      </c>
      <c r="L21" s="25" t="s">
        <v>443</v>
      </c>
      <c r="M21" s="25" t="s">
        <v>388</v>
      </c>
      <c r="N21" s="29"/>
      <c r="O21" s="25" t="s">
        <v>433</v>
      </c>
      <c r="P21" s="25" t="s">
        <v>216</v>
      </c>
      <c r="Q21" s="29" t="s">
        <v>574</v>
      </c>
      <c r="R21" s="29"/>
      <c r="S21" s="24" t="str">
        <f>"520,0"</f>
        <v>520,0</v>
      </c>
      <c r="T21" s="25" t="str">
        <f>"289,9000"</f>
        <v>289,9000</v>
      </c>
      <c r="U21" s="24" t="s">
        <v>350</v>
      </c>
    </row>
    <row r="23" spans="1:20" ht="15">
      <c r="A23" s="42" t="s">
        <v>105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1" ht="12.75">
      <c r="A24" s="12" t="s">
        <v>608</v>
      </c>
      <c r="B24" s="12" t="s">
        <v>609</v>
      </c>
      <c r="C24" s="12" t="s">
        <v>305</v>
      </c>
      <c r="D24" s="12" t="str">
        <f>"0,5365"</f>
        <v>0,5365</v>
      </c>
      <c r="E24" s="12" t="s">
        <v>573</v>
      </c>
      <c r="F24" s="12" t="s">
        <v>413</v>
      </c>
      <c r="G24" s="13" t="s">
        <v>310</v>
      </c>
      <c r="H24" s="13" t="s">
        <v>562</v>
      </c>
      <c r="I24" s="13" t="s">
        <v>178</v>
      </c>
      <c r="J24" s="14"/>
      <c r="K24" s="13" t="s">
        <v>598</v>
      </c>
      <c r="L24" s="14" t="s">
        <v>144</v>
      </c>
      <c r="M24" s="13" t="s">
        <v>144</v>
      </c>
      <c r="N24" s="14"/>
      <c r="O24" s="13" t="s">
        <v>176</v>
      </c>
      <c r="P24" s="13" t="s">
        <v>178</v>
      </c>
      <c r="Q24" s="13" t="s">
        <v>248</v>
      </c>
      <c r="R24" s="14"/>
      <c r="S24" s="12" t="str">
        <f>"575,0"</f>
        <v>575,0</v>
      </c>
      <c r="T24" s="13" t="str">
        <f>"308,4875"</f>
        <v>308,4875</v>
      </c>
      <c r="U24" s="12" t="s">
        <v>52</v>
      </c>
    </row>
    <row r="26" ht="15">
      <c r="E26" s="10" t="s">
        <v>18</v>
      </c>
    </row>
    <row r="27" ht="15">
      <c r="E27" s="10" t="s">
        <v>19</v>
      </c>
    </row>
    <row r="28" ht="15">
      <c r="E28" s="10" t="s">
        <v>20</v>
      </c>
    </row>
    <row r="29" ht="15">
      <c r="E29" s="10" t="s">
        <v>21</v>
      </c>
    </row>
    <row r="30" ht="15">
      <c r="E30" s="10" t="s">
        <v>21</v>
      </c>
    </row>
    <row r="31" ht="15">
      <c r="E31" s="10" t="s">
        <v>22</v>
      </c>
    </row>
    <row r="32" ht="15">
      <c r="E32" s="10"/>
    </row>
    <row r="34" spans="1:2" ht="18">
      <c r="A34" s="11" t="s">
        <v>23</v>
      </c>
      <c r="B34" s="11"/>
    </row>
    <row r="35" spans="1:2" ht="15">
      <c r="A35" s="15" t="s">
        <v>139</v>
      </c>
      <c r="B35" s="15"/>
    </row>
    <row r="36" spans="1:2" ht="14.25">
      <c r="A36" s="16"/>
      <c r="B36" s="17" t="s">
        <v>54</v>
      </c>
    </row>
    <row r="37" spans="1:5" ht="15">
      <c r="A37" s="18" t="s">
        <v>55</v>
      </c>
      <c r="B37" s="18" t="s">
        <v>56</v>
      </c>
      <c r="C37" s="18" t="s">
        <v>57</v>
      </c>
      <c r="D37" s="18" t="s">
        <v>58</v>
      </c>
      <c r="E37" s="18" t="s">
        <v>59</v>
      </c>
    </row>
    <row r="38" spans="1:5" ht="12.75">
      <c r="A38" s="19" t="s">
        <v>610</v>
      </c>
      <c r="B38" s="1" t="s">
        <v>54</v>
      </c>
      <c r="C38" s="1" t="s">
        <v>46</v>
      </c>
      <c r="D38" s="1" t="s">
        <v>611</v>
      </c>
      <c r="E38" s="20" t="s">
        <v>612</v>
      </c>
    </row>
    <row r="39" spans="1:5" ht="12.75">
      <c r="A39" s="19" t="s">
        <v>613</v>
      </c>
      <c r="B39" s="1" t="s">
        <v>54</v>
      </c>
      <c r="C39" s="1" t="s">
        <v>46</v>
      </c>
      <c r="D39" s="1" t="s">
        <v>191</v>
      </c>
      <c r="E39" s="20" t="s">
        <v>614</v>
      </c>
    </row>
    <row r="41" spans="1:2" ht="14.25">
      <c r="A41" s="16"/>
      <c r="B41" s="17" t="s">
        <v>90</v>
      </c>
    </row>
    <row r="42" spans="1:5" ht="15">
      <c r="A42" s="18" t="s">
        <v>55</v>
      </c>
      <c r="B42" s="18" t="s">
        <v>56</v>
      </c>
      <c r="C42" s="18" t="s">
        <v>57</v>
      </c>
      <c r="D42" s="18" t="s">
        <v>58</v>
      </c>
      <c r="E42" s="18" t="s">
        <v>59</v>
      </c>
    </row>
    <row r="43" spans="1:5" ht="12.75">
      <c r="A43" s="19" t="s">
        <v>463</v>
      </c>
      <c r="B43" s="1" t="s">
        <v>464</v>
      </c>
      <c r="C43" s="1" t="s">
        <v>61</v>
      </c>
      <c r="D43" s="1" t="s">
        <v>615</v>
      </c>
      <c r="E43" s="20" t="s">
        <v>616</v>
      </c>
    </row>
    <row r="46" spans="1:2" ht="15">
      <c r="A46" s="15" t="s">
        <v>53</v>
      </c>
      <c r="B46" s="15"/>
    </row>
    <row r="47" spans="1:2" ht="14.25">
      <c r="A47" s="16"/>
      <c r="B47" s="17" t="s">
        <v>466</v>
      </c>
    </row>
    <row r="48" spans="1:5" ht="15">
      <c r="A48" s="18" t="s">
        <v>55</v>
      </c>
      <c r="B48" s="18" t="s">
        <v>56</v>
      </c>
      <c r="C48" s="18" t="s">
        <v>57</v>
      </c>
      <c r="D48" s="18" t="s">
        <v>58</v>
      </c>
      <c r="E48" s="18" t="s">
        <v>59</v>
      </c>
    </row>
    <row r="49" spans="1:5" ht="12.75">
      <c r="A49" s="19" t="s">
        <v>470</v>
      </c>
      <c r="B49" s="1" t="s">
        <v>471</v>
      </c>
      <c r="C49" s="1" t="s">
        <v>84</v>
      </c>
      <c r="D49" s="1" t="s">
        <v>617</v>
      </c>
      <c r="E49" s="20" t="s">
        <v>618</v>
      </c>
    </row>
    <row r="50" spans="1:5" ht="12.75">
      <c r="A50" s="19" t="s">
        <v>619</v>
      </c>
      <c r="B50" s="1" t="s">
        <v>471</v>
      </c>
      <c r="C50" s="1" t="s">
        <v>46</v>
      </c>
      <c r="D50" s="1" t="s">
        <v>620</v>
      </c>
      <c r="E50" s="20" t="s">
        <v>621</v>
      </c>
    </row>
    <row r="52" spans="1:2" ht="14.25">
      <c r="A52" s="16"/>
      <c r="B52" s="17" t="s">
        <v>54</v>
      </c>
    </row>
    <row r="53" spans="1:5" ht="15">
      <c r="A53" s="18" t="s">
        <v>55</v>
      </c>
      <c r="B53" s="18" t="s">
        <v>56</v>
      </c>
      <c r="C53" s="18" t="s">
        <v>57</v>
      </c>
      <c r="D53" s="18" t="s">
        <v>58</v>
      </c>
      <c r="E53" s="18" t="s">
        <v>59</v>
      </c>
    </row>
    <row r="54" spans="1:5" ht="12.75">
      <c r="A54" s="19" t="s">
        <v>622</v>
      </c>
      <c r="B54" s="1" t="s">
        <v>54</v>
      </c>
      <c r="C54" s="1" t="s">
        <v>84</v>
      </c>
      <c r="D54" s="1" t="s">
        <v>623</v>
      </c>
      <c r="E54" s="20" t="s">
        <v>624</v>
      </c>
    </row>
    <row r="55" spans="1:5" ht="12.75">
      <c r="A55" s="19" t="s">
        <v>625</v>
      </c>
      <c r="B55" s="1" t="s">
        <v>54</v>
      </c>
      <c r="C55" s="1" t="s">
        <v>103</v>
      </c>
      <c r="D55" s="1" t="s">
        <v>626</v>
      </c>
      <c r="E55" s="20" t="s">
        <v>627</v>
      </c>
    </row>
    <row r="56" spans="1:5" ht="12.75">
      <c r="A56" s="19" t="s">
        <v>628</v>
      </c>
      <c r="B56" s="1" t="s">
        <v>54</v>
      </c>
      <c r="C56" s="1" t="s">
        <v>84</v>
      </c>
      <c r="D56" s="1" t="s">
        <v>629</v>
      </c>
      <c r="E56" s="20" t="s">
        <v>630</v>
      </c>
    </row>
    <row r="58" spans="1:2" ht="14.25">
      <c r="A58" s="16"/>
      <c r="B58" s="17" t="s">
        <v>90</v>
      </c>
    </row>
    <row r="59" spans="1:5" ht="15">
      <c r="A59" s="18" t="s">
        <v>55</v>
      </c>
      <c r="B59" s="18" t="s">
        <v>56</v>
      </c>
      <c r="C59" s="18" t="s">
        <v>57</v>
      </c>
      <c r="D59" s="18" t="s">
        <v>58</v>
      </c>
      <c r="E59" s="18" t="s">
        <v>59</v>
      </c>
    </row>
    <row r="60" spans="1:5" ht="12.75">
      <c r="A60" s="19" t="s">
        <v>631</v>
      </c>
      <c r="B60" s="1" t="s">
        <v>164</v>
      </c>
      <c r="C60" s="1" t="s">
        <v>117</v>
      </c>
      <c r="D60" s="1" t="s">
        <v>632</v>
      </c>
      <c r="E60" s="20" t="s">
        <v>633</v>
      </c>
    </row>
  </sheetData>
  <sheetProtection selectLockedCells="1" selectUnlockedCells="1"/>
  <mergeCells count="19">
    <mergeCell ref="A15:T15"/>
    <mergeCell ref="A18:T18"/>
    <mergeCell ref="A23:T23"/>
    <mergeCell ref="S3:S4"/>
    <mergeCell ref="T3:T4"/>
    <mergeCell ref="U3:U4"/>
    <mergeCell ref="A5:T5"/>
    <mergeCell ref="A9:T9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3" width="2.140625" style="3" customWidth="1"/>
    <col min="14" max="14" width="4.8515625" style="3" customWidth="1"/>
    <col min="15" max="17" width="2.140625" style="3" customWidth="1"/>
    <col min="18" max="18" width="4.8515625" style="3" customWidth="1"/>
    <col min="19" max="19" width="7.8515625" style="1" customWidth="1"/>
    <col min="20" max="20" width="6.421875" style="3" customWidth="1"/>
    <col min="21" max="21" width="8.8515625" style="1" customWidth="1"/>
    <col min="22" max="16384" width="9.140625" style="3" customWidth="1"/>
  </cols>
  <sheetData>
    <row r="1" spans="1:21" s="5" customFormat="1" ht="28.5" customHeight="1">
      <c r="A1" s="40" t="s">
        <v>634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6</v>
      </c>
      <c r="H3" s="38"/>
      <c r="I3" s="38"/>
      <c r="J3" s="38"/>
      <c r="K3" s="38" t="s">
        <v>7</v>
      </c>
      <c r="L3" s="38"/>
      <c r="M3" s="38"/>
      <c r="N3" s="38"/>
      <c r="O3" s="38" t="s">
        <v>8</v>
      </c>
      <c r="P3" s="38"/>
      <c r="Q3" s="38"/>
      <c r="R3" s="38"/>
      <c r="S3" s="37" t="s">
        <v>9</v>
      </c>
      <c r="T3" s="37" t="s">
        <v>10</v>
      </c>
      <c r="U3" s="39" t="s">
        <v>11</v>
      </c>
    </row>
    <row r="4" spans="1:21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7"/>
      <c r="T4" s="37"/>
      <c r="U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10.57421875" style="1" customWidth="1"/>
    <col min="4" max="4" width="9.28125" style="1" customWidth="1"/>
    <col min="5" max="5" width="22.7109375" style="1" customWidth="1"/>
    <col min="6" max="6" width="29.7109375" style="1" customWidth="1"/>
    <col min="7" max="7" width="6.57421875" style="3" customWidth="1"/>
    <col min="8" max="9" width="5.57421875" style="3" customWidth="1"/>
    <col min="10" max="10" width="4.8515625" style="3" customWidth="1"/>
    <col min="11" max="11" width="6.57421875" style="3" customWidth="1"/>
    <col min="12" max="13" width="5.57421875" style="3" customWidth="1"/>
    <col min="14" max="14" width="4.8515625" style="3" customWidth="1"/>
    <col min="15" max="15" width="6.57421875" style="3" customWidth="1"/>
    <col min="16" max="16" width="5.57421875" style="3" customWidth="1"/>
    <col min="17" max="17" width="2.140625" style="3" customWidth="1"/>
    <col min="18" max="18" width="4.8515625" style="3" customWidth="1"/>
    <col min="19" max="19" width="7.8515625" style="1" customWidth="1"/>
    <col min="20" max="20" width="8.57421875" style="3" customWidth="1"/>
    <col min="21" max="21" width="8.8515625" style="1" customWidth="1"/>
    <col min="22" max="16384" width="9.140625" style="3" customWidth="1"/>
  </cols>
  <sheetData>
    <row r="1" spans="1:21" s="5" customFormat="1" ht="28.5" customHeight="1">
      <c r="A1" s="40" t="s">
        <v>635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6" customFormat="1" ht="12.75" customHeight="1">
      <c r="A3" s="34" t="s">
        <v>0</v>
      </c>
      <c r="B3" s="35" t="s">
        <v>1</v>
      </c>
      <c r="C3" s="35" t="s">
        <v>2</v>
      </c>
      <c r="D3" s="37" t="s">
        <v>37</v>
      </c>
      <c r="E3" s="37" t="s">
        <v>4</v>
      </c>
      <c r="F3" s="37" t="s">
        <v>5</v>
      </c>
      <c r="G3" s="38" t="s">
        <v>123</v>
      </c>
      <c r="H3" s="38"/>
      <c r="I3" s="38"/>
      <c r="J3" s="38"/>
      <c r="K3" s="38" t="s">
        <v>222</v>
      </c>
      <c r="L3" s="38"/>
      <c r="M3" s="38"/>
      <c r="N3" s="38"/>
      <c r="O3" s="38" t="s">
        <v>154</v>
      </c>
      <c r="P3" s="38"/>
      <c r="Q3" s="38"/>
      <c r="R3" s="38"/>
      <c r="S3" s="37" t="s">
        <v>9</v>
      </c>
      <c r="T3" s="37" t="s">
        <v>10</v>
      </c>
      <c r="U3" s="39" t="s">
        <v>11</v>
      </c>
    </row>
    <row r="4" spans="1:21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7"/>
      <c r="T4" s="37"/>
      <c r="U4" s="39"/>
    </row>
    <row r="5" spans="1:20" ht="15">
      <c r="A5" s="41" t="s">
        <v>251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ht="12.75">
      <c r="A6" s="12" t="s">
        <v>636</v>
      </c>
      <c r="B6" s="12" t="s">
        <v>637</v>
      </c>
      <c r="C6" s="12" t="s">
        <v>638</v>
      </c>
      <c r="D6" s="12" t="str">
        <f>"0,6972"</f>
        <v>0,6972</v>
      </c>
      <c r="E6" s="12" t="s">
        <v>44</v>
      </c>
      <c r="F6" s="12" t="s">
        <v>102</v>
      </c>
      <c r="G6" s="13" t="s">
        <v>294</v>
      </c>
      <c r="H6" s="13" t="s">
        <v>176</v>
      </c>
      <c r="I6" s="14" t="s">
        <v>177</v>
      </c>
      <c r="J6" s="14"/>
      <c r="K6" s="13" t="s">
        <v>183</v>
      </c>
      <c r="L6" s="14" t="s">
        <v>387</v>
      </c>
      <c r="M6" s="14" t="s">
        <v>388</v>
      </c>
      <c r="N6" s="14"/>
      <c r="O6" s="13" t="s">
        <v>294</v>
      </c>
      <c r="P6" s="14" t="s">
        <v>176</v>
      </c>
      <c r="Q6" s="14"/>
      <c r="R6" s="14"/>
      <c r="S6" s="12" t="str">
        <f>"545.00n"</f>
        <v>545.00n</v>
      </c>
      <c r="T6" s="13" t="str">
        <f>"379,9740"</f>
        <v>379,9740</v>
      </c>
      <c r="U6" s="12" t="s">
        <v>52</v>
      </c>
    </row>
    <row r="8" ht="15">
      <c r="E8" s="10" t="s">
        <v>18</v>
      </c>
    </row>
    <row r="9" ht="15">
      <c r="E9" s="10" t="s">
        <v>19</v>
      </c>
    </row>
    <row r="10" ht="15">
      <c r="E10" s="10" t="s">
        <v>20</v>
      </c>
    </row>
    <row r="11" ht="15">
      <c r="E11" s="10" t="s">
        <v>21</v>
      </c>
    </row>
    <row r="12" ht="15">
      <c r="E12" s="10" t="s">
        <v>21</v>
      </c>
    </row>
    <row r="13" ht="15">
      <c r="E13" s="10" t="s">
        <v>22</v>
      </c>
    </row>
    <row r="14" ht="15">
      <c r="E14" s="10"/>
    </row>
    <row r="16" spans="1:2" ht="18">
      <c r="A16" s="11" t="s">
        <v>23</v>
      </c>
      <c r="B16" s="11"/>
    </row>
    <row r="17" spans="1:2" ht="15">
      <c r="A17" s="15" t="s">
        <v>53</v>
      </c>
      <c r="B17" s="15"/>
    </row>
    <row r="18" spans="1:2" ht="14.25">
      <c r="A18" s="16"/>
      <c r="B18" s="17" t="s">
        <v>54</v>
      </c>
    </row>
    <row r="19" spans="1:5" ht="15">
      <c r="A19" s="18" t="s">
        <v>55</v>
      </c>
      <c r="B19" s="18" t="s">
        <v>56</v>
      </c>
      <c r="C19" s="18" t="s">
        <v>57</v>
      </c>
      <c r="D19" s="18" t="s">
        <v>58</v>
      </c>
      <c r="E19" s="18" t="s">
        <v>59</v>
      </c>
    </row>
    <row r="20" spans="1:5" ht="12.75">
      <c r="A20" s="19" t="s">
        <v>639</v>
      </c>
      <c r="B20" s="1" t="s">
        <v>54</v>
      </c>
      <c r="C20" s="1" t="s">
        <v>46</v>
      </c>
      <c r="D20" s="1" t="s">
        <v>617</v>
      </c>
      <c r="E20" s="20" t="s">
        <v>640</v>
      </c>
    </row>
  </sheetData>
  <sheetProtection selectLockedCells="1" selectUnlockedCells="1"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3" width="2.140625" style="3" customWidth="1"/>
    <col min="14" max="14" width="4.8515625" style="3" customWidth="1"/>
    <col min="15" max="17" width="2.140625" style="3" customWidth="1"/>
    <col min="18" max="18" width="4.8515625" style="3" customWidth="1"/>
    <col min="19" max="19" width="7.8515625" style="1" customWidth="1"/>
    <col min="20" max="20" width="6.421875" style="3" customWidth="1"/>
    <col min="21" max="21" width="8.8515625" style="1" customWidth="1"/>
    <col min="22" max="16384" width="9.140625" style="3" customWidth="1"/>
  </cols>
  <sheetData>
    <row r="1" spans="1:21" s="5" customFormat="1" ht="28.5" customHeight="1">
      <c r="A1" s="40" t="s">
        <v>641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6</v>
      </c>
      <c r="H3" s="38"/>
      <c r="I3" s="38"/>
      <c r="J3" s="38"/>
      <c r="K3" s="38" t="s">
        <v>7</v>
      </c>
      <c r="L3" s="38"/>
      <c r="M3" s="38"/>
      <c r="N3" s="38"/>
      <c r="O3" s="38" t="s">
        <v>8</v>
      </c>
      <c r="P3" s="38"/>
      <c r="Q3" s="38"/>
      <c r="R3" s="38"/>
      <c r="S3" s="37" t="s">
        <v>9</v>
      </c>
      <c r="T3" s="37" t="s">
        <v>10</v>
      </c>
      <c r="U3" s="39" t="s">
        <v>11</v>
      </c>
    </row>
    <row r="4" spans="1:21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7"/>
      <c r="T4" s="37"/>
      <c r="U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9" width="2.140625" style="3" customWidth="1"/>
    <col min="10" max="10" width="4.8515625" style="3" customWidth="1"/>
    <col min="11" max="13" width="2.140625" style="3" customWidth="1"/>
    <col min="14" max="14" width="4.8515625" style="3" customWidth="1"/>
    <col min="15" max="17" width="2.140625" style="3" customWidth="1"/>
    <col min="18" max="18" width="4.8515625" style="3" customWidth="1"/>
    <col min="19" max="19" width="7.8515625" style="1" customWidth="1"/>
    <col min="20" max="20" width="6.421875" style="3" customWidth="1"/>
    <col min="21" max="21" width="8.8515625" style="1" customWidth="1"/>
    <col min="22" max="16384" width="9.140625" style="3" customWidth="1"/>
  </cols>
  <sheetData>
    <row r="1" spans="1:21" s="5" customFormat="1" ht="28.5" customHeight="1">
      <c r="A1" s="40" t="s">
        <v>642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6</v>
      </c>
      <c r="H3" s="38"/>
      <c r="I3" s="38"/>
      <c r="J3" s="38"/>
      <c r="K3" s="38" t="s">
        <v>7</v>
      </c>
      <c r="L3" s="38"/>
      <c r="M3" s="38"/>
      <c r="N3" s="38"/>
      <c r="O3" s="38" t="s">
        <v>8</v>
      </c>
      <c r="P3" s="38"/>
      <c r="Q3" s="38"/>
      <c r="R3" s="38"/>
      <c r="S3" s="37" t="s">
        <v>9</v>
      </c>
      <c r="T3" s="37" t="s">
        <v>10</v>
      </c>
      <c r="U3" s="39" t="s">
        <v>11</v>
      </c>
    </row>
    <row r="4" spans="1:21" s="6" customFormat="1" ht="21" customHeight="1">
      <c r="A4" s="34"/>
      <c r="B4" s="35"/>
      <c r="C4" s="35"/>
      <c r="D4" s="35"/>
      <c r="E4" s="35"/>
      <c r="F4" s="35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7"/>
      <c r="T4" s="37"/>
      <c r="U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19652777777777777" right="0.4722222222222222" top="0.43333333333333335" bottom="0.47291666666666665" header="0.5118055555555555" footer="0.5118055555555555"/>
  <pageSetup fitToHeight="100" fitToWidth="1" horizontalDpi="300" verticalDpi="300" orientation="landscape"/>
  <headerFooter alignWithMargins="0">
    <oddFooter>&amp;R&amp;"Arial Cyr,Обычный"&amp;D&amp;T&amp;P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26.28125" style="1" customWidth="1"/>
    <col min="3" max="3" width="9.7109375" style="1" customWidth="1"/>
    <col min="4" max="4" width="6.57421875" style="1" customWidth="1"/>
    <col min="5" max="5" width="22.7109375" style="1" customWidth="1"/>
    <col min="6" max="6" width="17.28125" style="1" customWidth="1"/>
    <col min="7" max="7" width="2.140625" style="3" customWidth="1"/>
    <col min="8" max="8" width="2.140625" style="8" customWidth="1"/>
    <col min="9" max="9" width="7.8515625" style="1" customWidth="1"/>
    <col min="10" max="10" width="6.421875" style="3" customWidth="1"/>
    <col min="11" max="11" width="8.8515625" style="1" customWidth="1"/>
    <col min="12" max="16384" width="9.140625" style="3" customWidth="1"/>
  </cols>
  <sheetData>
    <row r="1" spans="1:11" s="5" customFormat="1" ht="28.5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61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6" customFormat="1" ht="12.75" customHeight="1">
      <c r="A3" s="34" t="s">
        <v>0</v>
      </c>
      <c r="B3" s="35" t="s">
        <v>1</v>
      </c>
      <c r="C3" s="35" t="s">
        <v>2</v>
      </c>
      <c r="D3" s="37"/>
      <c r="E3" s="37" t="s">
        <v>4</v>
      </c>
      <c r="F3" s="37" t="s">
        <v>5</v>
      </c>
      <c r="G3" s="38" t="s">
        <v>14</v>
      </c>
      <c r="H3" s="38"/>
      <c r="I3" s="37" t="s">
        <v>15</v>
      </c>
      <c r="J3" s="37" t="s">
        <v>10</v>
      </c>
      <c r="K3" s="39" t="s">
        <v>11</v>
      </c>
    </row>
    <row r="4" spans="1:11" s="6" customFormat="1" ht="21" customHeight="1">
      <c r="A4" s="34"/>
      <c r="B4" s="35"/>
      <c r="C4" s="35"/>
      <c r="D4" s="35"/>
      <c r="E4" s="35"/>
      <c r="F4" s="35"/>
      <c r="G4" s="7" t="s">
        <v>16</v>
      </c>
      <c r="H4" s="9" t="s">
        <v>17</v>
      </c>
      <c r="I4" s="37"/>
      <c r="J4" s="37"/>
      <c r="K4" s="39"/>
    </row>
    <row r="6" ht="15">
      <c r="E6" s="10" t="s">
        <v>18</v>
      </c>
    </row>
    <row r="7" ht="15">
      <c r="E7" s="10" t="s">
        <v>19</v>
      </c>
    </row>
    <row r="8" ht="15">
      <c r="E8" s="10" t="s">
        <v>20</v>
      </c>
    </row>
    <row r="9" ht="15">
      <c r="E9" s="10" t="s">
        <v>21</v>
      </c>
    </row>
    <row r="10" ht="15">
      <c r="E10" s="10" t="s">
        <v>21</v>
      </c>
    </row>
    <row r="11" ht="15">
      <c r="E11" s="10" t="s">
        <v>22</v>
      </c>
    </row>
    <row r="12" ht="15">
      <c r="E12" s="10"/>
    </row>
    <row r="14" spans="1:2" ht="18">
      <c r="A14" s="11" t="s">
        <v>23</v>
      </c>
      <c r="B14" s="11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2019-01-10T06:55:30Z</dcterms:created>
  <dcterms:modified xsi:type="dcterms:W3CDTF">2019-01-10T06:55:31Z</dcterms:modified>
  <cp:category/>
  <cp:version/>
  <cp:contentType/>
  <cp:contentStatus/>
</cp:coreProperties>
</file>